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Tony Hays\Aircraft Design\Spreadsheets\Notch chart\"/>
    </mc:Choice>
  </mc:AlternateContent>
  <bookViews>
    <workbookView xWindow="5328" yWindow="-12" windowWidth="25176" windowHeight="12228"/>
  </bookViews>
  <sheets>
    <sheet name="NOTCH" sheetId="1" r:id="rId1"/>
    <sheet name="Notch Chart" sheetId="3" r:id="rId2"/>
    <sheet name="CG TRAVEL" sheetId="4" r:id="rId3"/>
  </sheets>
  <definedNames>
    <definedName name="__123Graph_A" hidden="1">NOTCH!$C$54:$H$54</definedName>
    <definedName name="__123Graph_B" hidden="1">NOTCH!$C$57:$H$57</definedName>
    <definedName name="__123Graph_C" hidden="1">NOTCH!$C$55:$J$55</definedName>
    <definedName name="__123Graph_D" hidden="1">NOTCH!$C$61:$F$61</definedName>
    <definedName name="__123Graph_LBL_A" hidden="1">NOTCH!$A$51:$D$51</definedName>
    <definedName name="__123Graph_LBL_B" hidden="1">NOTCH!$C$58:$G$58</definedName>
    <definedName name="__123Graph_LBL_C" hidden="1">NOTCH!$C$72:$I$72</definedName>
    <definedName name="__123Graph_LBL_D" hidden="1">NOTCH!$C$62:$D$62</definedName>
    <definedName name="__123Graph_X" hidden="1">NOTCH!$C$53:$J$53</definedName>
    <definedName name="_1__123Graph_ACG_TRAVEL" hidden="1">NOTCH!$O$29:$O$35</definedName>
    <definedName name="_10__123Graph_LBL_DNOTCH_CHART" hidden="1">NOTCH!$C$62:$D$62</definedName>
    <definedName name="_11__123Graph_XCG_TRAVEL" hidden="1">NOTCH!$R$29:$R$34</definedName>
    <definedName name="_12__123Graph_XNOTCH_CHART" hidden="1">NOTCH!$C$53:$J$53</definedName>
    <definedName name="_2__123Graph_ANOTCH_CHART" hidden="1">NOTCH!$C$54:$H$54</definedName>
    <definedName name="_3__123Graph_BNOTCH_CHART" hidden="1">NOTCH!$C$57:$H$57</definedName>
    <definedName name="_4__123Graph_CNOTCH_CHART" hidden="1">NOTCH!$C$55:$J$55</definedName>
    <definedName name="_5__123Graph_DNOTCH_CHART" hidden="1">NOTCH!$C$61:$F$61</definedName>
    <definedName name="_6__123Graph_LBL_ACG_TRAVEL" hidden="1">NOTCH!$M$29:$M$34</definedName>
    <definedName name="_7__123Graph_LBL_ANOTCH_CHART" hidden="1">NOTCH!$A$51:$D$51</definedName>
    <definedName name="_8__123Graph_LBL_BNOTCH_CHART" hidden="1">NOTCH!$C$58:$G$58</definedName>
    <definedName name="_9__123Graph_LBL_CNOTCH_CHART" hidden="1">NOTCH!$C$72:$I$72</definedName>
    <definedName name="_Regression_Int" localSheetId="0" hidden="1">1</definedName>
    <definedName name="ALFHTMAX">NOTCH!$I$43</definedName>
    <definedName name="ALPHAMAX">NOTCH!$C$46</definedName>
    <definedName name="ALPHAROL">NOTCH!$C$47</definedName>
    <definedName name="AOAEFF">NOTCH!$I$32</definedName>
    <definedName name="AR">NOTCH!$C$18</definedName>
    <definedName name="ARHT">NOTCH!$C$26</definedName>
    <definedName name="BALANCE">NOTCH!$M$11:$T$37</definedName>
    <definedName name="CDOTO">NOTCH!$C$38</definedName>
    <definedName name="CLALFIGE">NOTCH!$I$33</definedName>
    <definedName name="CLALPHA">NOTCH!$I$18</definedName>
    <definedName name="CLALPHAHT">NOTCH!$I$26</definedName>
    <definedName name="CLMAXLD">NOTCH!$I$41</definedName>
    <definedName name="CLROLL">NOTCH!$I$39</definedName>
    <definedName name="CMOLD">NOTCH!$C$40</definedName>
    <definedName name="CROOT">NOTCH!$C$20</definedName>
    <definedName name="DAODE">NOTCH!$I$30</definedName>
    <definedName name="DELAPHA">NOTCH!$C$48</definedName>
    <definedName name="DEOVERDA">NOTCH!$I$20</definedName>
    <definedName name="ETAT">NOTCH!$C$28</definedName>
    <definedName name="ETATOFF">NOTCH!$C$29</definedName>
    <definedName name="H">NOTCH!$C$22</definedName>
    <definedName name="KGETAIL">NOTCH!$C$45</definedName>
    <definedName name="KGEWING">NOTCH!$C$44</definedName>
    <definedName name="LAMBDA">NOTCH!$C$19</definedName>
    <definedName name="LAMBDAHT">NOTCH!$C$27</definedName>
    <definedName name="LH">NOTCH!$I$22</definedName>
    <definedName name="MAC">NOTCH!$I$19</definedName>
    <definedName name="_xlnm.Print_Area" localSheetId="0">NOTCH!$A$1:$J$70</definedName>
    <definedName name="Print_Area_MI" localSheetId="0">NOTCH!$A$1:$J$70</definedName>
    <definedName name="QLOF">NOTCH!$I$35</definedName>
    <definedName name="SEOSHORZ">NOTCH!$C$30</definedName>
    <definedName name="SM">NOTCH!$C$32</definedName>
    <definedName name="SPAN">NOTCH!$I$14</definedName>
    <definedName name="SREF">NOTCH!$I$13</definedName>
    <definedName name="TLAPSE">NOTCH!$C$34</definedName>
    <definedName name="TOGW">NOTCH!$C$15</definedName>
    <definedName name="TOW">NOTCH!$C$14</definedName>
    <definedName name="VBARMAX">NOTCH!$C$68</definedName>
    <definedName name="VR">NOTCH!$I$37</definedName>
    <definedName name="VSTALL">NOTCH!$I$36</definedName>
    <definedName name="WOS">NOTCH!$C$13</definedName>
    <definedName name="WOWREF">NOTCH!$C$35</definedName>
    <definedName name="XAC">NOTCH!$I$21</definedName>
    <definedName name="XACBAR">NOTCH!$C$21</definedName>
    <definedName name="XAFT">NOTCH!$R$37</definedName>
    <definedName name="XBARAFT">NOTCH!$R$37</definedName>
    <definedName name="XBARFWD">NOTCH!$R$36</definedName>
    <definedName name="XFWD">NOTCH!$R$36</definedName>
    <definedName name="XLEMAC">NOTCH!$C$25</definedName>
    <definedName name="XLG">NOTCH!$I$24</definedName>
    <definedName name="ZCG">NOTCH!$C$24</definedName>
    <definedName name="ZT">NOTCH!$C$23</definedName>
  </definedNames>
  <calcPr calcId="152511"/>
</workbook>
</file>

<file path=xl/calcChain.xml><?xml version="1.0" encoding="utf-8"?>
<calcChain xmlns="http://schemas.openxmlformats.org/spreadsheetml/2006/main">
  <c r="C57" i="1" l="1"/>
  <c r="C65" i="1"/>
  <c r="P16" i="1"/>
  <c r="H53" i="1" l="1"/>
  <c r="G53" i="1"/>
  <c r="F53" i="1"/>
  <c r="E53" i="1"/>
  <c r="D53" i="1"/>
  <c r="C53" i="1"/>
  <c r="I32" i="1" l="1"/>
  <c r="I30" i="1"/>
  <c r="I21" i="1"/>
  <c r="I26" i="1"/>
  <c r="I19" i="1"/>
  <c r="I18" i="1"/>
  <c r="I14" i="1"/>
  <c r="I13" i="1"/>
  <c r="I36" i="1" l="1"/>
  <c r="I37" i="1" s="1"/>
  <c r="I35" i="1" s="1"/>
  <c r="O15" i="1"/>
  <c r="Q15" i="1" s="1"/>
  <c r="P15" i="1"/>
  <c r="O16" i="1"/>
  <c r="O17" i="1"/>
  <c r="Q17" i="1" s="1"/>
  <c r="P17" i="1"/>
  <c r="O18" i="1"/>
  <c r="Q18" i="1" s="1"/>
  <c r="P18" i="1"/>
  <c r="P19" i="1"/>
  <c r="O20" i="1"/>
  <c r="Q20" i="1"/>
  <c r="P20" i="1"/>
  <c r="O21" i="1"/>
  <c r="Q21" i="1"/>
  <c r="Q23" i="1"/>
  <c r="O24" i="1"/>
  <c r="P24" i="1"/>
  <c r="Q24" i="1" s="1"/>
  <c r="Q27" i="1"/>
  <c r="P26" i="1"/>
  <c r="I33" i="1"/>
  <c r="I43" i="1"/>
  <c r="Q16" i="1"/>
  <c r="I39" i="1" l="1"/>
  <c r="I41" i="1"/>
  <c r="O29" i="1"/>
  <c r="O19" i="1"/>
  <c r="Q19" i="1" s="1"/>
  <c r="Q29" i="1" s="1"/>
  <c r="Q30" i="1" l="1"/>
  <c r="P29" i="1"/>
  <c r="O30" i="1"/>
  <c r="O26" i="1"/>
  <c r="Q26" i="1" s="1"/>
  <c r="O33" i="1" l="1"/>
  <c r="O32" i="1" s="1"/>
  <c r="O31" i="1"/>
  <c r="O34" i="1"/>
  <c r="P30" i="1"/>
  <c r="Q34" i="1"/>
  <c r="Q33" i="1"/>
  <c r="Q31" i="1"/>
  <c r="P31" i="1" s="1"/>
  <c r="R31" i="1" s="1"/>
  <c r="R29" i="1"/>
  <c r="R30" i="1" l="1"/>
  <c r="P34" i="1"/>
  <c r="R34" i="1" s="1"/>
  <c r="P33" i="1"/>
  <c r="R33" i="1" s="1"/>
  <c r="Q32" i="1"/>
  <c r="P32" i="1" s="1"/>
  <c r="R32" i="1" l="1"/>
  <c r="R36" i="1" s="1"/>
  <c r="I22" i="1"/>
  <c r="I20" i="1" s="1"/>
  <c r="R37" i="1" l="1"/>
  <c r="J52" i="1" s="1"/>
  <c r="J53" i="1" s="1"/>
  <c r="I52" i="1"/>
  <c r="I53" i="1" s="1"/>
  <c r="C67" i="1"/>
  <c r="G54" i="1"/>
  <c r="E54" i="1"/>
  <c r="G61" i="1"/>
  <c r="D54" i="1"/>
  <c r="C61" i="1"/>
  <c r="E61" i="1"/>
  <c r="C54" i="1"/>
  <c r="H54" i="1"/>
  <c r="H61" i="1"/>
  <c r="F54" i="1"/>
  <c r="F61" i="1"/>
  <c r="D61" i="1"/>
  <c r="C66" i="1" l="1"/>
  <c r="I24" i="1"/>
  <c r="F57" i="1" l="1"/>
  <c r="E57" i="1"/>
  <c r="H57" i="1"/>
  <c r="D57" i="1"/>
  <c r="G57" i="1"/>
  <c r="C68" i="1"/>
  <c r="J55" i="1" s="1"/>
  <c r="I55" i="1" l="1"/>
</calcChain>
</file>

<file path=xl/comments1.xml><?xml version="1.0" encoding="utf-8"?>
<comments xmlns="http://schemas.openxmlformats.org/spreadsheetml/2006/main">
  <authors>
    <author>Tony Hays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Nicolaii =n (2.9), with </t>
        </r>
        <r>
          <rPr>
            <u/>
            <sz val="9"/>
            <color indexed="81"/>
            <rFont val="Tahoma"/>
            <family val="2"/>
          </rPr>
          <t>approximate</t>
        </r>
        <r>
          <rPr>
            <sz val="9"/>
            <color indexed="81"/>
            <rFont val="Tahoma"/>
            <family val="2"/>
          </rPr>
          <t xml:space="preserve"> value of τ from Nicolai Fig. 2.10, valid for λ &gt; 0.3 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Fig 4.17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Tail downwash. See Raymer Fig 16.10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Tony Hays:</t>
        </r>
        <r>
          <rPr>
            <sz val="8"/>
            <color indexed="81"/>
            <rFont val="Tahoma"/>
            <family val="2"/>
          </rPr>
          <t xml:space="preserve">
+ve for TE down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Tony Hays:</t>
        </r>
        <r>
          <rPr>
            <sz val="8"/>
            <color indexed="81"/>
            <rFont val="Tahoma"/>
            <family val="2"/>
          </rPr>
          <t xml:space="preserve">
See P&amp;H Fig 5-39</t>
        </r>
      </text>
    </comment>
  </commentList>
</comments>
</file>

<file path=xl/sharedStrings.xml><?xml version="1.0" encoding="utf-8"?>
<sst xmlns="http://schemas.openxmlformats.org/spreadsheetml/2006/main" count="154" uniqueCount="149">
  <si>
    <t>HORIZONTAL TAIL SIZING</t>
  </si>
  <si>
    <t>WEIGHT AND BALANCE:</t>
  </si>
  <si>
    <t>Using F-27 data</t>
  </si>
  <si>
    <t>Wi</t>
  </si>
  <si>
    <t>xi</t>
  </si>
  <si>
    <t>Wi*xi</t>
  </si>
  <si>
    <t>[in]</t>
  </si>
  <si>
    <t>Fuselage group</t>
  </si>
  <si>
    <t>Wing group</t>
  </si>
  <si>
    <t>Empennage group</t>
  </si>
  <si>
    <t>Wing engine group</t>
  </si>
  <si>
    <t>Tail engine group</t>
  </si>
  <si>
    <t>Assumptions:</t>
  </si>
  <si>
    <t>Derived values:</t>
  </si>
  <si>
    <t>Landing gear group</t>
  </si>
  <si>
    <t>Fixed equipment group</t>
  </si>
  <si>
    <t>General:</t>
  </si>
  <si>
    <t>Wing loading [lb/ft²]</t>
  </si>
  <si>
    <t>WOS</t>
  </si>
  <si>
    <t>Ref wing area [ft²]</t>
  </si>
  <si>
    <t>SREF</t>
  </si>
  <si>
    <t>Crew</t>
  </si>
  <si>
    <t>Thrust/weight ratio</t>
  </si>
  <si>
    <t>TOW</t>
  </si>
  <si>
    <t>Wing span [ft]</t>
  </si>
  <si>
    <t>SPAN</t>
  </si>
  <si>
    <t>Trapped fuel and oil</t>
  </si>
  <si>
    <t>Takeoff gross weight</t>
  </si>
  <si>
    <t>TOGW</t>
  </si>
  <si>
    <t>Available fuel</t>
  </si>
  <si>
    <t>Geometry:</t>
  </si>
  <si>
    <t>Payload</t>
  </si>
  <si>
    <t>Wing aspect ratio</t>
  </si>
  <si>
    <t>AR</t>
  </si>
  <si>
    <t>Wing lift slope (oge)</t>
  </si>
  <si>
    <t>CLALPHA</t>
  </si>
  <si>
    <t>(Nicolai =n 2.9)</t>
  </si>
  <si>
    <t>xbar</t>
  </si>
  <si>
    <t>Wing taper ratio</t>
  </si>
  <si>
    <t>LAMBDA</t>
  </si>
  <si>
    <t>MAC</t>
  </si>
  <si>
    <t>Weight empty</t>
  </si>
  <si>
    <t>Wing root chord [in]</t>
  </si>
  <si>
    <t>CROOT</t>
  </si>
  <si>
    <t>DEOVERDA</t>
  </si>
  <si>
    <t>Operating weight empty</t>
  </si>
  <si>
    <t>Wing-body AC [/MAC]</t>
  </si>
  <si>
    <t>XACBAR</t>
  </si>
  <si>
    <t>XAC</t>
  </si>
  <si>
    <t>Zero fuel weight</t>
  </si>
  <si>
    <t>Ht. of wing above grd [in]</t>
  </si>
  <si>
    <t>H</t>
  </si>
  <si>
    <t>Cg to 1/4MAC(horz t) [in]</t>
  </si>
  <si>
    <t>LH</t>
  </si>
  <si>
    <t>(from aircraft geometry)</t>
  </si>
  <si>
    <t>Ht. of thrust above ground</t>
  </si>
  <si>
    <t>ZT</t>
  </si>
  <si>
    <t>Zero payload weight</t>
  </si>
  <si>
    <t>Ht. of cg above ground [in]</t>
  </si>
  <si>
    <t>ZCG</t>
  </si>
  <si>
    <t>LEMAC to MLG [in]</t>
  </si>
  <si>
    <t>XLG</t>
  </si>
  <si>
    <t>Origin to LEMAC [in]</t>
  </si>
  <si>
    <t>XLEMAC</t>
  </si>
  <si>
    <t>Horz tail aspect ratio</t>
  </si>
  <si>
    <t>ARHT</t>
  </si>
  <si>
    <t>Horz tail lift slope (oge)</t>
  </si>
  <si>
    <t>CLALPHAHT</t>
  </si>
  <si>
    <t>Forward c.g. location</t>
  </si>
  <si>
    <t>XBARFWD</t>
  </si>
  <si>
    <t>Horz tail taper ratio</t>
  </si>
  <si>
    <t>LAMBDAHT</t>
  </si>
  <si>
    <t>Aft c.g. location</t>
  </si>
  <si>
    <t>XBARAFT</t>
  </si>
  <si>
    <t>Tail effy. (power on)</t>
  </si>
  <si>
    <t>ETAT</t>
  </si>
  <si>
    <t>Elevator effectiveness:</t>
  </si>
  <si>
    <t>Tail effy. (power off)</t>
  </si>
  <si>
    <t>ETATOFF</t>
  </si>
  <si>
    <t>Elev ref area ratio</t>
  </si>
  <si>
    <t>SEOSHORZ</t>
  </si>
  <si>
    <t>d(alphah)/d(deltae)</t>
  </si>
  <si>
    <t>DAODE</t>
  </si>
  <si>
    <t>Static margin [/MAC]</t>
  </si>
  <si>
    <t>SM</t>
  </si>
  <si>
    <t>AOAEFF</t>
  </si>
  <si>
    <t>Wing lift slope (ige)</t>
  </si>
  <si>
    <t>CLALFIGE</t>
  </si>
  <si>
    <t>q at liftoff</t>
  </si>
  <si>
    <t>QLOF</t>
  </si>
  <si>
    <t>Thrust lapse at rotation</t>
  </si>
  <si>
    <t>TLAPSE</t>
  </si>
  <si>
    <t>Stall speed [ft/sec]</t>
  </si>
  <si>
    <t>VSTALL</t>
  </si>
  <si>
    <t>Weight ratio (W/Wref)</t>
  </si>
  <si>
    <t>WOWREF</t>
  </si>
  <si>
    <t>Vel. at rotation [ft/sec]</t>
  </si>
  <si>
    <t>VR</t>
  </si>
  <si>
    <t xml:space="preserve"> (at critical rotation cg)</t>
  </si>
  <si>
    <t>CLROLL</t>
  </si>
  <si>
    <t>CDOTO</t>
  </si>
  <si>
    <t>CMOTO</t>
  </si>
  <si>
    <t>CMOLD</t>
  </si>
  <si>
    <t>Max up elevator def. [°]</t>
  </si>
  <si>
    <t>ELEVMAX</t>
  </si>
  <si>
    <t>CLMAXTO</t>
  </si>
  <si>
    <t>Tail ge correction</t>
  </si>
  <si>
    <t>KGETAIL</t>
  </si>
  <si>
    <t>Max alpha on ground [°]</t>
  </si>
  <si>
    <t>ALPHAMAX</t>
  </si>
  <si>
    <t>CLMAXLD</t>
  </si>
  <si>
    <t>Alpha ground roll [°]</t>
  </si>
  <si>
    <t>ALPHAROL</t>
  </si>
  <si>
    <t>Tailplane alpha rel wing</t>
  </si>
  <si>
    <t>DELAPHA</t>
  </si>
  <si>
    <t>Max tailplane alpha [°]</t>
  </si>
  <si>
    <t>ALFHTMAX</t>
  </si>
  <si>
    <t xml:space="preserve">   Rear stability limit</t>
  </si>
  <si>
    <t>Cg location ref AC [/MAC]</t>
  </si>
  <si>
    <t>XWBAR</t>
  </si>
  <si>
    <t>LEMAC to CG [/MAC]</t>
  </si>
  <si>
    <t>Vbar</t>
  </si>
  <si>
    <t>Nosewheel liftoff:</t>
  </si>
  <si>
    <t xml:space="preserve">    Nosewheel liftoff</t>
  </si>
  <si>
    <t>Landing flare:</t>
  </si>
  <si>
    <t xml:space="preserve">  Landing flare</t>
  </si>
  <si>
    <t>Vbar at fwd cg limit</t>
  </si>
  <si>
    <t>VBARFWD</t>
  </si>
  <si>
    <t>(nosewheel liftoff)</t>
  </si>
  <si>
    <t>Vbar at aft cg limit</t>
  </si>
  <si>
    <t>VBARAFT</t>
  </si>
  <si>
    <t>(static stability)</t>
  </si>
  <si>
    <t>(landing flare)</t>
  </si>
  <si>
    <t>VBARMAX</t>
  </si>
  <si>
    <t xml:space="preserve">             Cg travel</t>
  </si>
  <si>
    <t>Fwd cg</t>
  </si>
  <si>
    <t>Aft cg</t>
  </si>
  <si>
    <t>Mean aerodynamic chord [in]</t>
  </si>
  <si>
    <t>Wing-body AC from LEMAC [in]</t>
  </si>
  <si>
    <t>Rear Stability Limit:</t>
  </si>
  <si>
    <r>
      <t>C</t>
    </r>
    <r>
      <rPr>
        <vertAlign val="subscript"/>
        <sz val="10"/>
        <rFont val="Calibri"/>
        <family val="2"/>
        <scheme val="minor"/>
      </rPr>
      <t>Do</t>
    </r>
    <r>
      <rPr>
        <sz val="10"/>
        <rFont val="Calibri"/>
        <family val="2"/>
        <scheme val="minor"/>
      </rPr>
      <t xml:space="preserve"> with TO flaps</t>
    </r>
  </si>
  <si>
    <r>
      <t>C</t>
    </r>
    <r>
      <rPr>
        <vertAlign val="subscript"/>
        <sz val="10"/>
        <rFont val="Calibri"/>
        <family val="2"/>
        <scheme val="minor"/>
      </rPr>
      <t>Mo</t>
    </r>
    <r>
      <rPr>
        <sz val="10"/>
        <rFont val="Calibri"/>
        <family val="2"/>
        <scheme val="minor"/>
      </rPr>
      <t xml:space="preserve"> with TO flaps</t>
    </r>
  </si>
  <si>
    <r>
      <t>C</t>
    </r>
    <r>
      <rPr>
        <vertAlign val="subscript"/>
        <sz val="10"/>
        <rFont val="Calibri"/>
        <family val="2"/>
        <scheme val="minor"/>
      </rPr>
      <t>Lmax</t>
    </r>
    <r>
      <rPr>
        <sz val="10"/>
        <rFont val="Calibri"/>
        <family val="2"/>
        <scheme val="minor"/>
      </rPr>
      <t xml:space="preserve"> with TO flaps</t>
    </r>
  </si>
  <si>
    <r>
      <t>C</t>
    </r>
    <r>
      <rPr>
        <vertAlign val="subscript"/>
        <sz val="10"/>
        <rFont val="Calibri"/>
        <family val="2"/>
        <scheme val="minor"/>
      </rPr>
      <t>Mo</t>
    </r>
    <r>
      <rPr>
        <sz val="10"/>
        <rFont val="Calibri"/>
        <family val="2"/>
        <scheme val="minor"/>
      </rPr>
      <t xml:space="preserve"> with landing flaps</t>
    </r>
  </si>
  <si>
    <r>
      <t>C</t>
    </r>
    <r>
      <rPr>
        <vertAlign val="subscript"/>
        <sz val="10"/>
        <rFont val="Calibri"/>
        <family val="2"/>
        <scheme val="minor"/>
      </rPr>
      <t xml:space="preserve">L </t>
    </r>
    <r>
      <rPr>
        <sz val="10"/>
        <rFont val="Calibri"/>
        <family val="2"/>
        <scheme val="minor"/>
      </rPr>
      <t>during ground roll</t>
    </r>
  </si>
  <si>
    <r>
      <t>C</t>
    </r>
    <r>
      <rPr>
        <vertAlign val="subscript"/>
        <sz val="10"/>
        <rFont val="Calibri"/>
        <family val="2"/>
        <scheme val="minor"/>
      </rPr>
      <t>Lmax</t>
    </r>
    <r>
      <rPr>
        <sz val="10"/>
        <rFont val="Calibri"/>
        <family val="2"/>
        <scheme val="minor"/>
      </rPr>
      <t xml:space="preserve"> landing flare</t>
    </r>
  </si>
  <si>
    <r>
      <t>A/A</t>
    </r>
    <r>
      <rPr>
        <vertAlign val="subscript"/>
        <sz val="10"/>
        <rFont val="Calibri"/>
        <family val="2"/>
        <scheme val="minor"/>
      </rPr>
      <t>eff</t>
    </r>
  </si>
  <si>
    <r>
      <t>d</t>
    </r>
    <r>
      <rPr>
        <sz val="10"/>
        <rFont val="Calibri"/>
        <family val="2"/>
      </rPr>
      <t>ϵ</t>
    </r>
    <r>
      <rPr>
        <sz val="10"/>
        <rFont val="Calibri"/>
        <family val="2"/>
        <scheme val="minor"/>
      </rPr>
      <t>/d</t>
    </r>
    <r>
      <rPr>
        <sz val="10"/>
        <rFont val="Calibri"/>
        <family val="2"/>
      </rPr>
      <t>α</t>
    </r>
  </si>
  <si>
    <t>Vbar max value of liftoff and flare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</si>
</sst>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0.00_)"/>
    <numFmt numFmtId="166" formatCode="0.0_)"/>
    <numFmt numFmtId="167" formatCode="0.0000_)"/>
    <numFmt numFmtId="168" formatCode="0.0"/>
  </numFmts>
  <fonts count="11" x14ac:knownFonts="1">
    <font>
      <sz val="10"/>
      <name val="Courie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vertAlign val="subscript"/>
      <sz val="10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Border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164" fontId="3" fillId="0" borderId="1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Protection="1"/>
    <xf numFmtId="0" fontId="3" fillId="0" borderId="5" xfId="0" applyFont="1" applyBorder="1"/>
    <xf numFmtId="0" fontId="3" fillId="0" borderId="6" xfId="0" applyFont="1" applyBorder="1"/>
    <xf numFmtId="165" fontId="3" fillId="0" borderId="6" xfId="0" applyNumberFormat="1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3" xfId="0" applyFont="1" applyBorder="1"/>
    <xf numFmtId="164" fontId="3" fillId="0" borderId="4" xfId="0" applyNumberFormat="1" applyFont="1" applyBorder="1" applyProtection="1"/>
    <xf numFmtId="164" fontId="3" fillId="0" borderId="6" xfId="0" applyNumberFormat="1" applyFont="1" applyBorder="1" applyProtection="1"/>
    <xf numFmtId="166" fontId="3" fillId="0" borderId="6" xfId="0" applyNumberFormat="1" applyFont="1" applyBorder="1" applyProtection="1"/>
    <xf numFmtId="0" fontId="3" fillId="0" borderId="8" xfId="0" applyFont="1" applyBorder="1"/>
    <xf numFmtId="0" fontId="3" fillId="0" borderId="2" xfId="0" applyFont="1" applyBorder="1"/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/>
    <xf numFmtId="0" fontId="3" fillId="0" borderId="6" xfId="0" applyFont="1" applyBorder="1" applyAlignment="1" applyProtection="1">
      <alignment horizontal="left"/>
    </xf>
    <xf numFmtId="165" fontId="3" fillId="0" borderId="9" xfId="0" applyNumberFormat="1" applyFont="1" applyBorder="1" applyProtection="1"/>
    <xf numFmtId="0" fontId="5" fillId="0" borderId="4" xfId="0" applyFont="1" applyBorder="1" applyProtection="1"/>
    <xf numFmtId="0" fontId="5" fillId="0" borderId="6" xfId="0" applyFont="1" applyBorder="1" applyProtection="1"/>
    <xf numFmtId="0" fontId="5" fillId="0" borderId="6" xfId="0" applyFont="1" applyBorder="1"/>
    <xf numFmtId="0" fontId="5" fillId="0" borderId="1" xfId="0" applyFont="1" applyBorder="1" applyProtection="1"/>
    <xf numFmtId="0" fontId="3" fillId="0" borderId="3" xfId="0" applyFont="1" applyBorder="1" applyProtection="1"/>
    <xf numFmtId="0" fontId="3" fillId="0" borderId="8" xfId="0" applyFont="1" applyBorder="1" applyProtection="1"/>
    <xf numFmtId="0" fontId="3" fillId="0" borderId="9" xfId="0" applyFont="1" applyBorder="1"/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/>
    <xf numFmtId="0" fontId="3" fillId="0" borderId="11" xfId="0" applyFont="1" applyBorder="1" applyProtection="1"/>
    <xf numFmtId="0" fontId="3" fillId="0" borderId="12" xfId="0" applyFont="1" applyBorder="1"/>
    <xf numFmtId="0" fontId="3" fillId="0" borderId="7" xfId="0" applyFont="1" applyBorder="1"/>
    <xf numFmtId="0" fontId="4" fillId="0" borderId="0" xfId="0" applyFont="1" applyBorder="1"/>
    <xf numFmtId="168" fontId="3" fillId="0" borderId="6" xfId="0" applyNumberFormat="1" applyFont="1" applyBorder="1" applyProtection="1"/>
    <xf numFmtId="167" fontId="5" fillId="0" borderId="6" xfId="0" applyNumberFormat="1" applyFont="1" applyBorder="1" applyProtection="1"/>
    <xf numFmtId="165" fontId="5" fillId="0" borderId="6" xfId="0" applyNumberFormat="1" applyFont="1" applyBorder="1" applyProtection="1"/>
    <xf numFmtId="0" fontId="5" fillId="0" borderId="9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HORIZONTAL TAIL VOLUME COEFFICIENT
for a hypothetical aircraft</a:t>
            </a:r>
          </a:p>
        </c:rich>
      </c:tx>
      <c:layout>
        <c:manualLayout>
          <c:xMode val="edge"/>
          <c:yMode val="edge"/>
          <c:x val="0.35516095653891377"/>
          <c:y val="1.9575845506960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32186459489458E-2"/>
          <c:y val="0.1402936378466558"/>
          <c:w val="0.90566037735849059"/>
          <c:h val="0.75367047308319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NOTCH!$A$51</c:f>
                  <c:strCache>
                    <c:ptCount val="1"/>
                    <c:pt idx="0">
                      <c:v>Rear Stability Limit: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{DAD532A5-BD22-4074-961D-A7E8120B6CDA}</c15:txfldGUID>
                      <c15:f>NOTCH!$A$51</c15:f>
                      <c15:dlblFieldTableCache>
                        <c:ptCount val="1"/>
                        <c:pt idx="0">
                          <c:v>Rear Stability Limit: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NOTCH!$B$51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{A5BE2EF6-43A5-4341-8D5E-EF00EBA2100F}</c15:txfldGUID>
                      <c15:f>NOTCH!$B$51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NOTCH!$C$51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{9154C22B-48A1-4092-89E7-E4065D43138A}</c15:txfldGUID>
                      <c15:f>NOTCH!$C$51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NOTCH!$D$51</c:f>
                  <c:strCache>
                    <c:ptCount val="1"/>
                    <c:pt idx="0">
                      <c:v>   Rear stability limit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{FA4991DD-6618-4147-9491-C44B0E808DE5}</c15:txfldGUID>
                      <c15:f>NOTCH!$D$51</c15:f>
                      <c15:dlblFieldTableCache>
                        <c:ptCount val="1"/>
                        <c:pt idx="0">
                          <c:v>   Rear stability limit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NOTCH!$C$53:$J$53</c:f>
              <c:numCache>
                <c:formatCode>General</c:formatCode>
                <c:ptCount val="8"/>
                <c:pt idx="0">
                  <c:v>0.15</c:v>
                </c:pt>
                <c:pt idx="1">
                  <c:v>0.25</c:v>
                </c:pt>
                <c:pt idx="2">
                  <c:v>0.35</c:v>
                </c:pt>
                <c:pt idx="3">
                  <c:v>0.44999999999999996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0.35190337403177141</c:v>
                </c:pt>
                <c:pt idx="7">
                  <c:v>0.4656928070175439</c:v>
                </c:pt>
              </c:numCache>
            </c:numRef>
          </c:xVal>
          <c:yVal>
            <c:numRef>
              <c:f>NOTCH!$C$54:$H$54</c:f>
              <c:numCache>
                <c:formatCode>General</c:formatCode>
                <c:ptCount val="6"/>
                <c:pt idx="0">
                  <c:v>0.13807581679577968</c:v>
                </c:pt>
                <c:pt idx="1">
                  <c:v>0.27615163359155936</c:v>
                </c:pt>
                <c:pt idx="2">
                  <c:v>0.4142274503873391</c:v>
                </c:pt>
                <c:pt idx="3">
                  <c:v>0.55230326718311873</c:v>
                </c:pt>
                <c:pt idx="4">
                  <c:v>0.69037908397889836</c:v>
                </c:pt>
                <c:pt idx="5">
                  <c:v>0.82845490077467809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NOTCH!$C$58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{6C9D5C0E-9DBA-427C-A2B1-98DCF7C457E5}</c15:txfldGUID>
                      <c15:f>NOTCH!$C$58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NOTCH!$D$58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{D4B00250-DF76-401C-AB00-58C65AF4DE7E}</c15:txfldGUID>
                      <c15:f>NOTCH!$D$58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NOTCH!$E$58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{E2E8212D-C274-4ECD-8124-E95DF3E8BA5E}</c15:txfldGUID>
                      <c15:f>NOTCH!$E$58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NOTCH!$F$58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{C1245F8B-6F4D-4135-8153-F3F917079FC1}</c15:txfldGUID>
                      <c15:f>NOTCH!$F$58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NOTCH!$G$58</c:f>
                  <c:strCache>
                    <c:ptCount val="1"/>
                    <c:pt idx="0">
                      <c:v>    Nosewheel liftoff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{DEEBACAE-ADFB-4766-A6A4-DBC2316BFF1D}</c15:txfldGUID>
                      <c15:f>NOTCH!$G$58</c15:f>
                      <c15:dlblFieldTableCache>
                        <c:ptCount val="1"/>
                        <c:pt idx="0">
                          <c:v>    Nosewheel liftoff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NOTCH!$C$53:$J$53</c:f>
              <c:numCache>
                <c:formatCode>General</c:formatCode>
                <c:ptCount val="8"/>
                <c:pt idx="0">
                  <c:v>0.15</c:v>
                </c:pt>
                <c:pt idx="1">
                  <c:v>0.25</c:v>
                </c:pt>
                <c:pt idx="2">
                  <c:v>0.35</c:v>
                </c:pt>
                <c:pt idx="3">
                  <c:v>0.44999999999999996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0.35190337403177141</c:v>
                </c:pt>
                <c:pt idx="7">
                  <c:v>0.4656928070175439</c:v>
                </c:pt>
              </c:numCache>
            </c:numRef>
          </c:xVal>
          <c:yVal>
            <c:numRef>
              <c:f>NOTCH!$C$57:$H$57</c:f>
              <c:numCache>
                <c:formatCode>General</c:formatCode>
                <c:ptCount val="6"/>
                <c:pt idx="0">
                  <c:v>0.7660225389465658</c:v>
                </c:pt>
                <c:pt idx="1">
                  <c:v>0.67013942710719421</c:v>
                </c:pt>
                <c:pt idx="2">
                  <c:v>0.57425631526782273</c:v>
                </c:pt>
                <c:pt idx="3">
                  <c:v>0.4783732034284513</c:v>
                </c:pt>
                <c:pt idx="4">
                  <c:v>0.38249009158907971</c:v>
                </c:pt>
                <c:pt idx="5">
                  <c:v>0.28660697974970817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NOTCH!$C$72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{AE06604D-AB7A-45DC-9F28-1DD6CCF52644}</c15:txfldGUID>
                      <c15:f>NOTCH!$C$72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NOTCH!$D$72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{ECA0EEF3-23EC-40DE-8C00-BB75026C2A2B}</c15:txfldGUID>
                      <c15:f>NOTCH!$D$72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NOTCH!$E$72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{971E985C-2B9A-4DC3-AECB-F12209F9A382}</c15:txfldGUID>
                      <c15:f>NOTCH!$E$72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NOTCH!$F$72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{62AA801C-D36D-45A3-A1D7-504F9CD732C0}</c15:txfldGUID>
                      <c15:f>NOTCH!$F$72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NOTCH!$G$72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{1F0E7877-919C-4BE2-B228-77B4135D5795}</c15:txfldGUID>
                      <c15:f>NOTCH!$G$72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NOTCH!$H$72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{F63B84C2-4257-4CF1-9BC9-61AA71DA66F4}</c15:txfldGUID>
                      <c15:f>NOTCH!$H$72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NOTCH!$I$72</c:f>
                  <c:strCache>
                    <c:ptCount val="1"/>
                    <c:pt idx="0">
                      <c:v>             Cg travel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{92CF7D31-3906-4B67-BEB8-09567FE15038}</c15:txfldGUID>
                      <c15:f>NOTCH!$I$72</c15:f>
                      <c15:dlblFieldTableCache>
                        <c:ptCount val="1"/>
                        <c:pt idx="0">
                          <c:v>             Cg travel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NOTCH!$C$53:$J$53</c:f>
              <c:numCache>
                <c:formatCode>General</c:formatCode>
                <c:ptCount val="8"/>
                <c:pt idx="0">
                  <c:v>0.15</c:v>
                </c:pt>
                <c:pt idx="1">
                  <c:v>0.25</c:v>
                </c:pt>
                <c:pt idx="2">
                  <c:v>0.35</c:v>
                </c:pt>
                <c:pt idx="3">
                  <c:v>0.44999999999999996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0.35190337403177141</c:v>
                </c:pt>
                <c:pt idx="7">
                  <c:v>0.4656928070175439</c:v>
                </c:pt>
              </c:numCache>
            </c:numRef>
          </c:xVal>
          <c:yVal>
            <c:numRef>
              <c:f>NOTCH!$C$55:$J$55</c:f>
              <c:numCache>
                <c:formatCode>General</c:formatCode>
                <c:ptCount val="8"/>
                <c:pt idx="6">
                  <c:v>0.57243130101621775</c:v>
                </c:pt>
                <c:pt idx="7">
                  <c:v>0.57243130101621775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NOTCH!$C$62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{EEBA9201-5BAA-4777-BFE8-08B61D5D54EC}</c15:txfldGUID>
                      <c15:f>NOTCH!$C$62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NOTCH!$D$62</c:f>
                  <c:strCache>
                    <c:ptCount val="1"/>
                    <c:pt idx="0">
                      <c:v>  Landing flare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{B34773FA-81D7-4BCF-82A3-8C2AB697CC5C}</c15:txfldGUID>
                      <c15:f>NOTCH!$D$62</c15:f>
                      <c15:dlblFieldTableCache>
                        <c:ptCount val="1"/>
                        <c:pt idx="0">
                          <c:v>  Landing flare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NOTCH!$C$53:$J$53</c:f>
              <c:numCache>
                <c:formatCode>General</c:formatCode>
                <c:ptCount val="8"/>
                <c:pt idx="0">
                  <c:v>0.15</c:v>
                </c:pt>
                <c:pt idx="1">
                  <c:v>0.25</c:v>
                </c:pt>
                <c:pt idx="2">
                  <c:v>0.35</c:v>
                </c:pt>
                <c:pt idx="3">
                  <c:v>0.44999999999999996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0.35190337403177141</c:v>
                </c:pt>
                <c:pt idx="7">
                  <c:v>0.4656928070175439</c:v>
                </c:pt>
              </c:numCache>
            </c:numRef>
          </c:xVal>
          <c:yVal>
            <c:numRef>
              <c:f>NOTCH!$C$61:$F$61</c:f>
              <c:numCache>
                <c:formatCode>General</c:formatCode>
                <c:ptCount val="4"/>
                <c:pt idx="0">
                  <c:v>1.3014052465239969</c:v>
                </c:pt>
                <c:pt idx="1">
                  <c:v>0.84936588960429293</c:v>
                </c:pt>
                <c:pt idx="2">
                  <c:v>0.39732653268458895</c:v>
                </c:pt>
                <c:pt idx="3">
                  <c:v>-5.471282423511506E-2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76424"/>
        <c:axId val="347276816"/>
      </c:scatterChart>
      <c:valAx>
        <c:axId val="347276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CG location wrt LEMAC</a:t>
                </a:r>
              </a:p>
            </c:rich>
          </c:tx>
          <c:layout>
            <c:manualLayout>
              <c:xMode val="edge"/>
              <c:yMode val="edge"/>
              <c:x val="0.44506105650785671"/>
              <c:y val="0.9445350184452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276816"/>
        <c:crosses val="autoZero"/>
        <c:crossBetween val="midCat"/>
      </c:valAx>
      <c:valAx>
        <c:axId val="347276816"/>
        <c:scaling>
          <c:orientation val="minMax"/>
          <c:max val="1.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Horizontal Tail Volume Coeff</a:t>
                </a:r>
              </a:p>
            </c:rich>
          </c:tx>
          <c:layout>
            <c:manualLayout>
              <c:xMode val="edge"/>
              <c:yMode val="edge"/>
              <c:x val="1.22086151761008E-2"/>
              <c:y val="0.38172924524085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276424"/>
        <c:crosses val="autoZero"/>
        <c:crossBetween val="midCat"/>
      </c:valAx>
      <c:spPr>
        <a:solidFill>
          <a:schemeClr val="bg1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C.G. TRAVEL
for different loading conditions</a:t>
            </a:r>
          </a:p>
        </c:rich>
      </c:tx>
      <c:layout>
        <c:manualLayout>
          <c:xMode val="edge"/>
          <c:yMode val="edge"/>
          <c:x val="0.4028857380371938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69256381798006E-2"/>
          <c:y val="0.1402936378466558"/>
          <c:w val="0.87347391786903439"/>
          <c:h val="0.7536704730831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NOTCH!$M$29</c:f>
                  <c:strCache>
                    <c:ptCount val="1"/>
                    <c:pt idx="0">
                      <c:v>Weight empty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{B66B0CDD-53F5-4892-92C2-FC2232561537}</c15:txfldGUID>
                      <c15:f>NOTCH!$M$29</c15:f>
                      <c15:dlblFieldTableCache>
                        <c:ptCount val="1"/>
                        <c:pt idx="0">
                          <c:v>Weight empty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NOTCH!$M$30</c:f>
                  <c:strCache>
                    <c:ptCount val="1"/>
                    <c:pt idx="0">
                      <c:v>Operating weight empty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{0B63CED7-C3DC-447F-A6C3-2773948E7500}</c15:txfldGUID>
                      <c15:f>NOTCH!$M$30</c15:f>
                      <c15:dlblFieldTableCache>
                        <c:ptCount val="1"/>
                        <c:pt idx="0">
                          <c:v>Operating weight empty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NOTCH!$M$31</c:f>
                  <c:strCache>
                    <c:ptCount val="1"/>
                    <c:pt idx="0">
                      <c:v>Zero fuel weight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{F1442C7F-5693-4C9F-A24A-3A842979C78B}</c15:txfldGUID>
                      <c15:f>NOTCH!$M$31</c15:f>
                      <c15:dlblFieldTableCache>
                        <c:ptCount val="1"/>
                        <c:pt idx="0">
                          <c:v>Zero fuel weight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NOTCH!$M$32</c:f>
                  <c:strCache>
                    <c:ptCount val="1"/>
                    <c:pt idx="0">
                      <c:v>Takeoff gross weight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{FB88455D-222B-43A5-8600-B4516CF2D687}</c15:txfldGUID>
                      <c15:f>NOTCH!$M$32</c15:f>
                      <c15:dlblFieldTableCache>
                        <c:ptCount val="1"/>
                        <c:pt idx="0">
                          <c:v>Takeoff gross weight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NOTCH!$M$33</c:f>
                  <c:strCache>
                    <c:ptCount val="1"/>
                    <c:pt idx="0">
                      <c:v>Zero payload weight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{33A86FFA-84D6-49C2-A2D0-DAF6329E763A}</c15:txfldGUID>
                      <c15:f>NOTCH!$M$33</c15:f>
                      <c15:dlblFieldTableCache>
                        <c:ptCount val="1"/>
                        <c:pt idx="0">
                          <c:v>Zero payload weight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NOTCH!$M$34</c:f>
                  <c:strCache>
                    <c:ptCount val="1"/>
                    <c:pt idx="0">
                      <c:v>Operating weight empty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{43F74FD7-0460-4F36-80EF-686C776D75CA}</c15:txfldGUID>
                      <c15:f>NOTCH!$M$34</c15:f>
                      <c15:dlblFieldTableCache>
                        <c:ptCount val="1"/>
                        <c:pt idx="0">
                          <c:v>Operating weight empty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NOTCH!$R$29:$R$34</c:f>
              <c:numCache>
                <c:formatCode>0.00_)</c:formatCode>
                <c:ptCount val="6"/>
                <c:pt idx="0">
                  <c:v>0.33006849315068509</c:v>
                </c:pt>
                <c:pt idx="1">
                  <c:v>0.29478589227525354</c:v>
                </c:pt>
                <c:pt idx="2">
                  <c:v>0.20190337403177144</c:v>
                </c:pt>
                <c:pt idx="3">
                  <c:v>0.2607897101449273</c:v>
                </c:pt>
                <c:pt idx="4">
                  <c:v>0.31569280701754393</c:v>
                </c:pt>
                <c:pt idx="5">
                  <c:v>0.29478589227525354</c:v>
                </c:pt>
              </c:numCache>
            </c:numRef>
          </c:xVal>
          <c:yVal>
            <c:numRef>
              <c:f>NOTCH!$O$29:$O$35</c:f>
              <c:numCache>
                <c:formatCode>General</c:formatCode>
                <c:ptCount val="7"/>
                <c:pt idx="0">
                  <c:v>41610</c:v>
                </c:pt>
                <c:pt idx="1">
                  <c:v>43475</c:v>
                </c:pt>
                <c:pt idx="2">
                  <c:v>63475</c:v>
                </c:pt>
                <c:pt idx="3">
                  <c:v>115000</c:v>
                </c:pt>
                <c:pt idx="4">
                  <c:v>95000</c:v>
                </c:pt>
                <c:pt idx="5">
                  <c:v>43475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77600"/>
        <c:axId val="347277992"/>
      </c:scatterChart>
      <c:valAx>
        <c:axId val="347277600"/>
        <c:scaling>
          <c:orientation val="minMax"/>
          <c:max val="0.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x/MAC</a:t>
                </a:r>
              </a:p>
            </c:rich>
          </c:tx>
          <c:layout>
            <c:manualLayout>
              <c:xMode val="edge"/>
              <c:yMode val="edge"/>
              <c:x val="0.50943399090238273"/>
              <c:y val="0.94453508265655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277992"/>
        <c:crosses val="autoZero"/>
        <c:crossBetween val="midCat"/>
      </c:valAx>
      <c:valAx>
        <c:axId val="347277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[lb]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329530307402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277600"/>
        <c:crosses val="autoZero"/>
        <c:crossBetween val="midCat"/>
      </c:valAx>
      <c:spPr>
        <a:solidFill>
          <a:schemeClr val="bg1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HORIZONTAL TAIL VOLUME COEFFICIENT
for a hypothetical aircraft</a:t>
            </a:r>
          </a:p>
        </c:rich>
      </c:tx>
      <c:layout>
        <c:manualLayout>
          <c:xMode val="edge"/>
          <c:yMode val="edge"/>
          <c:x val="0.35516095653891377"/>
          <c:y val="1.9575845506960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32186459489458E-2"/>
          <c:y val="0.1402936378466558"/>
          <c:w val="0.90566037735849059"/>
          <c:h val="0.75367047308319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NOTCH!$A$51</c:f>
                  <c:strCache>
                    <c:ptCount val="1"/>
                    <c:pt idx="0">
                      <c:v>Rear Stability Limit: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{F1AA26AE-502B-4ECF-B779-66533E97435C}</c15:txfldGUID>
                      <c15:f>NOTCH!$A$51</c15:f>
                      <c15:dlblFieldTableCache>
                        <c:ptCount val="1"/>
                        <c:pt idx="0">
                          <c:v>Rear Stability Limit: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NOTCH!$B$51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{ABA46A0E-0E1A-42D5-BC37-EFCB92DAC819}</c15:txfldGUID>
                      <c15:f>NOTCH!$B$51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NOTCH!$C$51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{C47210CD-B45A-4E62-BA18-39AE9AA4B51E}</c15:txfldGUID>
                      <c15:f>NOTCH!$C$51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NOTCH!$D$51</c:f>
                  <c:strCache>
                    <c:ptCount val="1"/>
                    <c:pt idx="0">
                      <c:v>   Rear stability limit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{A654DDC8-8097-48F0-99C3-9AB2FB12D31F}</c15:txfldGUID>
                      <c15:f>NOTCH!$D$51</c15:f>
                      <c15:dlblFieldTableCache>
                        <c:ptCount val="1"/>
                        <c:pt idx="0">
                          <c:v>   Rear stability limit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NOTCH!$C$53:$J$53</c:f>
              <c:numCache>
                <c:formatCode>General</c:formatCode>
                <c:ptCount val="8"/>
                <c:pt idx="0">
                  <c:v>0.15</c:v>
                </c:pt>
                <c:pt idx="1">
                  <c:v>0.25</c:v>
                </c:pt>
                <c:pt idx="2">
                  <c:v>0.35</c:v>
                </c:pt>
                <c:pt idx="3">
                  <c:v>0.44999999999999996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0.35190337403177141</c:v>
                </c:pt>
                <c:pt idx="7">
                  <c:v>0.4656928070175439</c:v>
                </c:pt>
              </c:numCache>
            </c:numRef>
          </c:xVal>
          <c:yVal>
            <c:numRef>
              <c:f>NOTCH!$C$54:$H$54</c:f>
              <c:numCache>
                <c:formatCode>General</c:formatCode>
                <c:ptCount val="6"/>
                <c:pt idx="0">
                  <c:v>0.13807581679577968</c:v>
                </c:pt>
                <c:pt idx="1">
                  <c:v>0.27615163359155936</c:v>
                </c:pt>
                <c:pt idx="2">
                  <c:v>0.4142274503873391</c:v>
                </c:pt>
                <c:pt idx="3">
                  <c:v>0.55230326718311873</c:v>
                </c:pt>
                <c:pt idx="4">
                  <c:v>0.69037908397889836</c:v>
                </c:pt>
                <c:pt idx="5">
                  <c:v>0.82845490077467809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NOTCH!$C$58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{E1DC42F6-B6F4-4598-9EDD-5A374DB5F4D0}</c15:txfldGUID>
                      <c15:f>NOTCH!$C$58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NOTCH!$D$58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{65C6AF3E-2737-46DE-B0FC-E049F2370D60}</c15:txfldGUID>
                      <c15:f>NOTCH!$D$58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NOTCH!$E$58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{AE0854D3-4D4F-4046-A021-E91C3C698E37}</c15:txfldGUID>
                      <c15:f>NOTCH!$E$58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NOTCH!$F$58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{74915A23-7C04-4073-BC75-9683FB789410}</c15:txfldGUID>
                      <c15:f>NOTCH!$F$58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NOTCH!$G$58</c:f>
                  <c:strCache>
                    <c:ptCount val="1"/>
                    <c:pt idx="0">
                      <c:v>    Nosewheel liftoff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{8C19925F-72F1-4500-8F57-1676EDA25D55}</c15:txfldGUID>
                      <c15:f>NOTCH!$G$58</c15:f>
                      <c15:dlblFieldTableCache>
                        <c:ptCount val="1"/>
                        <c:pt idx="0">
                          <c:v>    Nosewheel liftoff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NOTCH!$C$53:$J$53</c:f>
              <c:numCache>
                <c:formatCode>General</c:formatCode>
                <c:ptCount val="8"/>
                <c:pt idx="0">
                  <c:v>0.15</c:v>
                </c:pt>
                <c:pt idx="1">
                  <c:v>0.25</c:v>
                </c:pt>
                <c:pt idx="2">
                  <c:v>0.35</c:v>
                </c:pt>
                <c:pt idx="3">
                  <c:v>0.44999999999999996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0.35190337403177141</c:v>
                </c:pt>
                <c:pt idx="7">
                  <c:v>0.4656928070175439</c:v>
                </c:pt>
              </c:numCache>
            </c:numRef>
          </c:xVal>
          <c:yVal>
            <c:numRef>
              <c:f>NOTCH!$C$57:$H$57</c:f>
              <c:numCache>
                <c:formatCode>General</c:formatCode>
                <c:ptCount val="6"/>
                <c:pt idx="0">
                  <c:v>0.7660225389465658</c:v>
                </c:pt>
                <c:pt idx="1">
                  <c:v>0.67013942710719421</c:v>
                </c:pt>
                <c:pt idx="2">
                  <c:v>0.57425631526782273</c:v>
                </c:pt>
                <c:pt idx="3">
                  <c:v>0.4783732034284513</c:v>
                </c:pt>
                <c:pt idx="4">
                  <c:v>0.38249009158907971</c:v>
                </c:pt>
                <c:pt idx="5">
                  <c:v>0.28660697974970817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NOTCH!$C$72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{6EBC0AF1-408F-494B-ABE5-D890C2C4C0FF}</c15:txfldGUID>
                      <c15:f>NOTCH!$C$72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NOTCH!$D$72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{90B3F75C-2479-49A5-842B-B7D8724AE6AD}</c15:txfldGUID>
                      <c15:f>NOTCH!$D$72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NOTCH!$E$72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{EFE247CE-3EBB-46B8-8E58-FF6CFCD696D2}</c15:txfldGUID>
                      <c15:f>NOTCH!$E$72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NOTCH!$F$72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{1B958E6A-EF33-4C10-90B2-2E699B711531}</c15:txfldGUID>
                      <c15:f>NOTCH!$F$72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NOTCH!$G$72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{847885C7-567C-4A91-92F9-C16F9D8ED8A5}</c15:txfldGUID>
                      <c15:f>NOTCH!$G$72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NOTCH!$H$72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{750B1CD7-8550-4611-8AB2-99BEA42B5DE4}</c15:txfldGUID>
                      <c15:f>NOTCH!$H$72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NOTCH!$I$72</c:f>
                  <c:strCache>
                    <c:ptCount val="1"/>
                    <c:pt idx="0">
                      <c:v>             Cg travel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{4ED4AF52-6122-47A4-9FDE-E6F15522D006}</c15:txfldGUID>
                      <c15:f>NOTCH!$I$72</c15:f>
                      <c15:dlblFieldTableCache>
                        <c:ptCount val="1"/>
                        <c:pt idx="0">
                          <c:v>             Cg travel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NOTCH!$C$53:$J$53</c:f>
              <c:numCache>
                <c:formatCode>General</c:formatCode>
                <c:ptCount val="8"/>
                <c:pt idx="0">
                  <c:v>0.15</c:v>
                </c:pt>
                <c:pt idx="1">
                  <c:v>0.25</c:v>
                </c:pt>
                <c:pt idx="2">
                  <c:v>0.35</c:v>
                </c:pt>
                <c:pt idx="3">
                  <c:v>0.44999999999999996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0.35190337403177141</c:v>
                </c:pt>
                <c:pt idx="7">
                  <c:v>0.4656928070175439</c:v>
                </c:pt>
              </c:numCache>
            </c:numRef>
          </c:xVal>
          <c:yVal>
            <c:numRef>
              <c:f>NOTCH!$C$55:$J$55</c:f>
              <c:numCache>
                <c:formatCode>General</c:formatCode>
                <c:ptCount val="8"/>
                <c:pt idx="6">
                  <c:v>0.57243130101621775</c:v>
                </c:pt>
                <c:pt idx="7">
                  <c:v>0.57243130101621775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NOTCH!$C$62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{4D896865-2888-4542-8C54-F666D3F52943}</c15:txfldGUID>
                      <c15:f>NOTCH!$C$62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NOTCH!$D$62</c:f>
                  <c:strCache>
                    <c:ptCount val="1"/>
                    <c:pt idx="0">
                      <c:v>  Landing flare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{138F508F-1504-4878-9C2F-C7021584578A}</c15:txfldGUID>
                      <c15:f>NOTCH!$D$62</c15:f>
                      <c15:dlblFieldTableCache>
                        <c:ptCount val="1"/>
                        <c:pt idx="0">
                          <c:v>  Landing flare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NOTCH!$C$53:$J$53</c:f>
              <c:numCache>
                <c:formatCode>General</c:formatCode>
                <c:ptCount val="8"/>
                <c:pt idx="0">
                  <c:v>0.15</c:v>
                </c:pt>
                <c:pt idx="1">
                  <c:v>0.25</c:v>
                </c:pt>
                <c:pt idx="2">
                  <c:v>0.35</c:v>
                </c:pt>
                <c:pt idx="3">
                  <c:v>0.44999999999999996</c:v>
                </c:pt>
                <c:pt idx="4">
                  <c:v>0.55000000000000004</c:v>
                </c:pt>
                <c:pt idx="5">
                  <c:v>0.65</c:v>
                </c:pt>
                <c:pt idx="6">
                  <c:v>0.35190337403177141</c:v>
                </c:pt>
                <c:pt idx="7">
                  <c:v>0.4656928070175439</c:v>
                </c:pt>
              </c:numCache>
            </c:numRef>
          </c:xVal>
          <c:yVal>
            <c:numRef>
              <c:f>NOTCH!$C$61:$F$61</c:f>
              <c:numCache>
                <c:formatCode>General</c:formatCode>
                <c:ptCount val="4"/>
                <c:pt idx="0">
                  <c:v>1.3014052465239969</c:v>
                </c:pt>
                <c:pt idx="1">
                  <c:v>0.84936588960429293</c:v>
                </c:pt>
                <c:pt idx="2">
                  <c:v>0.39732653268458895</c:v>
                </c:pt>
                <c:pt idx="3">
                  <c:v>-5.471282423511506E-2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78776"/>
        <c:axId val="347279168"/>
      </c:scatterChart>
      <c:valAx>
        <c:axId val="34727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CG location wrt LEMAC</a:t>
                </a:r>
              </a:p>
            </c:rich>
          </c:tx>
          <c:layout>
            <c:manualLayout>
              <c:xMode val="edge"/>
              <c:yMode val="edge"/>
              <c:x val="0.44506105650785671"/>
              <c:y val="0.9445350184452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279168"/>
        <c:crosses val="autoZero"/>
        <c:crossBetween val="midCat"/>
      </c:valAx>
      <c:valAx>
        <c:axId val="347279168"/>
        <c:scaling>
          <c:orientation val="minMax"/>
          <c:max val="1.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Horizontal Tail Volume Coeff</a:t>
                </a:r>
              </a:p>
            </c:rich>
          </c:tx>
          <c:layout>
            <c:manualLayout>
              <c:xMode val="edge"/>
              <c:yMode val="edge"/>
              <c:x val="1.22086151761008E-2"/>
              <c:y val="0.38172924524085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278776"/>
        <c:crosses val="autoZero"/>
        <c:crossBetween val="midCat"/>
      </c:valAx>
      <c:spPr>
        <a:solidFill>
          <a:schemeClr val="bg1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C.G. TRAVEL
for different loading conditions</a:t>
            </a:r>
          </a:p>
        </c:rich>
      </c:tx>
      <c:layout>
        <c:manualLayout>
          <c:xMode val="edge"/>
          <c:yMode val="edge"/>
          <c:x val="0.4028857380371938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69256381798006E-2"/>
          <c:y val="0.1402936378466558"/>
          <c:w val="0.87347391786903439"/>
          <c:h val="0.7536704730831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NOTCH!$M$29</c:f>
                  <c:strCache>
                    <c:ptCount val="1"/>
                    <c:pt idx="0">
                      <c:v>Weight empty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{B5A18DF5-BC59-4276-8BB2-A95716DE92E2}</c15:txfldGUID>
                      <c15:f>NOTCH!$M$29</c15:f>
                      <c15:dlblFieldTableCache>
                        <c:ptCount val="1"/>
                        <c:pt idx="0">
                          <c:v>Weight empty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NOTCH!$M$30</c:f>
                  <c:strCache>
                    <c:ptCount val="1"/>
                    <c:pt idx="0">
                      <c:v>Operating weight empty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{64CBE4B3-8FEB-4A65-85E5-3DEE425B06A8}</c15:txfldGUID>
                      <c15:f>NOTCH!$M$30</c15:f>
                      <c15:dlblFieldTableCache>
                        <c:ptCount val="1"/>
                        <c:pt idx="0">
                          <c:v>Operating weight empty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NOTCH!$M$31</c:f>
                  <c:strCache>
                    <c:ptCount val="1"/>
                    <c:pt idx="0">
                      <c:v>Zero fuel weight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{C497BF56-BF49-411F-BB1A-A4599068F679}</c15:txfldGUID>
                      <c15:f>NOTCH!$M$31</c15:f>
                      <c15:dlblFieldTableCache>
                        <c:ptCount val="1"/>
                        <c:pt idx="0">
                          <c:v>Zero fuel weight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NOTCH!$M$32</c:f>
                  <c:strCache>
                    <c:ptCount val="1"/>
                    <c:pt idx="0">
                      <c:v>Takeoff gross weight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{A4245049-218A-4D7F-97E6-329F8AA87644}</c15:txfldGUID>
                      <c15:f>NOTCH!$M$32</c15:f>
                      <c15:dlblFieldTableCache>
                        <c:ptCount val="1"/>
                        <c:pt idx="0">
                          <c:v>Takeoff gross weight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NOTCH!$M$33</c:f>
                  <c:strCache>
                    <c:ptCount val="1"/>
                    <c:pt idx="0">
                      <c:v>Zero payload weight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{E34AD15E-61F9-4718-A762-DF861E145369}</c15:txfldGUID>
                      <c15:f>NOTCH!$M$33</c15:f>
                      <c15:dlblFieldTableCache>
                        <c:ptCount val="1"/>
                        <c:pt idx="0">
                          <c:v>Zero payload weight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NOTCH!$M$34</c:f>
                  <c:strCache>
                    <c:ptCount val="1"/>
                    <c:pt idx="0">
                      <c:v>Operating weight empty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{BEBE4B3D-3BDE-4D87-A509-E8A14D03FB35}</c15:txfldGUID>
                      <c15:f>NOTCH!$M$34</c15:f>
                      <c15:dlblFieldTableCache>
                        <c:ptCount val="1"/>
                        <c:pt idx="0">
                          <c:v>Operating weight empty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NOTCH!$R$29:$R$34</c:f>
              <c:numCache>
                <c:formatCode>0.00_)</c:formatCode>
                <c:ptCount val="6"/>
                <c:pt idx="0">
                  <c:v>0.33006849315068509</c:v>
                </c:pt>
                <c:pt idx="1">
                  <c:v>0.29478589227525354</c:v>
                </c:pt>
                <c:pt idx="2">
                  <c:v>0.20190337403177144</c:v>
                </c:pt>
                <c:pt idx="3">
                  <c:v>0.2607897101449273</c:v>
                </c:pt>
                <c:pt idx="4">
                  <c:v>0.31569280701754393</c:v>
                </c:pt>
                <c:pt idx="5">
                  <c:v>0.29478589227525354</c:v>
                </c:pt>
              </c:numCache>
            </c:numRef>
          </c:xVal>
          <c:yVal>
            <c:numRef>
              <c:f>NOTCH!$O$29:$O$35</c:f>
              <c:numCache>
                <c:formatCode>General</c:formatCode>
                <c:ptCount val="7"/>
                <c:pt idx="0">
                  <c:v>41610</c:v>
                </c:pt>
                <c:pt idx="1">
                  <c:v>43475</c:v>
                </c:pt>
                <c:pt idx="2">
                  <c:v>63475</c:v>
                </c:pt>
                <c:pt idx="3">
                  <c:v>115000</c:v>
                </c:pt>
                <c:pt idx="4">
                  <c:v>95000</c:v>
                </c:pt>
                <c:pt idx="5">
                  <c:v>43475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80344"/>
        <c:axId val="347280736"/>
      </c:scatterChart>
      <c:valAx>
        <c:axId val="34728034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x/MAC</a:t>
                </a:r>
              </a:p>
            </c:rich>
          </c:tx>
          <c:layout>
            <c:manualLayout>
              <c:xMode val="edge"/>
              <c:yMode val="edge"/>
              <c:x val="0.50943399090238273"/>
              <c:y val="0.94453508265655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280736"/>
        <c:crosses val="autoZero"/>
        <c:crossBetween val="midCat"/>
      </c:valAx>
      <c:valAx>
        <c:axId val="347280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[lb]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329530307402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280344"/>
        <c:crosses val="autoZero"/>
        <c:crossBetween val="midCat"/>
      </c:valAx>
      <c:spPr>
        <a:solidFill>
          <a:schemeClr val="bg1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1</xdr:row>
      <xdr:rowOff>91440</xdr:rowOff>
    </xdr:from>
    <xdr:to>
      <xdr:col>6</xdr:col>
      <xdr:colOff>525780</xdr:colOff>
      <xdr:row>9</xdr:row>
      <xdr:rowOff>0</xdr:rowOff>
    </xdr:to>
    <xdr:sp macro="" textlink="">
      <xdr:nvSpPr>
        <xdr:cNvPr id="3" name="TextBox 2"/>
        <xdr:cNvSpPr txBox="1"/>
      </xdr:nvSpPr>
      <xdr:spPr>
        <a:xfrm>
          <a:off x="106680" y="266700"/>
          <a:ext cx="5631180" cy="131064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calculates the cg range based on component wts and locations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finds required Vbar from the notch chart (using Bud Nelson's notes)</a:t>
          </a:r>
          <a:r>
            <a:rPr lang="en-US"/>
            <a:t> </a:t>
          </a:r>
          <a:endParaRPr lang="en-US" sz="1100"/>
        </a:p>
        <a:p>
          <a:r>
            <a:rPr lang="en-US" sz="1100"/>
            <a:t>Currently c.g from wt and  balance is not linked</a:t>
          </a:r>
          <a:r>
            <a:rPr lang="en-US" sz="1100" baseline="0"/>
            <a:t> to c.g. travel on notch chart.</a:t>
          </a:r>
        </a:p>
        <a:p>
          <a:r>
            <a:rPr lang="en-US" sz="1100" baseline="0"/>
            <a:t>This sheet does not explicitly include effects of fuselage, nacelles or thrust.  See Raymer 16.3.7 and 16.3.8 (currently wing-body a.c. must be assumed)</a:t>
          </a:r>
        </a:p>
        <a:p>
          <a:r>
            <a:rPr lang="en-US" sz="1100" baseline="0"/>
            <a:t>Adjust the location of the wing by changing the value of XLEMAC to minimize the value of horizontal tail volume coefficient on the notch chart</a:t>
          </a:r>
          <a:endParaRPr lang="en-US" sz="1100"/>
        </a:p>
      </xdr:txBody>
    </xdr:sp>
    <xdr:clientData/>
  </xdr:twoCellAnchor>
  <xdr:absoluteAnchor>
    <xdr:pos x="8526780" y="6728460"/>
    <xdr:ext cx="6934200" cy="523494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244840" y="12420600"/>
    <xdr:ext cx="7475220" cy="6256020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508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T72"/>
  <sheetViews>
    <sheetView showGridLines="0" tabSelected="1" topLeftCell="A39" workbookViewId="0">
      <selection activeCell="I53" sqref="I53"/>
    </sheetView>
  </sheetViews>
  <sheetFormatPr defaultColWidth="9.6640625" defaultRowHeight="12" x14ac:dyDescent="0.2"/>
  <cols>
    <col min="1" max="1" width="27.6640625" customWidth="1"/>
  </cols>
  <sheetData>
    <row r="1" spans="1:20" ht="13.8" x14ac:dyDescent="0.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</row>
    <row r="2" spans="1:20" ht="13.8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</row>
    <row r="3" spans="1:20" ht="13.8" x14ac:dyDescent="0.3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</row>
    <row r="4" spans="1:20" ht="13.8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0"/>
    </row>
    <row r="5" spans="1:20" ht="13.8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</row>
    <row r="6" spans="1:20" ht="13.8" x14ac:dyDescent="0.3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</row>
    <row r="7" spans="1:20" ht="13.8" x14ac:dyDescent="0.3">
      <c r="A7" s="11"/>
      <c r="B7" s="11"/>
      <c r="C7" s="9"/>
      <c r="D7" s="9"/>
      <c r="E7" s="9"/>
      <c r="F7" s="9"/>
      <c r="G7" s="9"/>
      <c r="H7" s="9"/>
      <c r="I7" s="9"/>
      <c r="J7" s="9"/>
      <c r="K7" s="9"/>
      <c r="L7" s="10"/>
      <c r="M7" s="10"/>
    </row>
    <row r="8" spans="1:20" ht="13.8" x14ac:dyDescent="0.3">
      <c r="A8" s="11"/>
      <c r="B8" s="11"/>
      <c r="C8" s="9"/>
      <c r="D8" s="9"/>
      <c r="E8" s="9"/>
      <c r="F8" s="9"/>
      <c r="G8" s="9"/>
      <c r="H8" s="9"/>
      <c r="I8" s="9"/>
      <c r="J8" s="9"/>
      <c r="K8" s="9"/>
      <c r="L8" s="10"/>
      <c r="M8" s="10"/>
    </row>
    <row r="9" spans="1:20" ht="13.8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</row>
    <row r="10" spans="1:20" ht="13.8" x14ac:dyDescent="0.3">
      <c r="A10" s="8" t="s">
        <v>12</v>
      </c>
      <c r="B10" s="9"/>
      <c r="C10" s="9"/>
      <c r="D10" s="9"/>
      <c r="E10" s="8" t="s">
        <v>13</v>
      </c>
      <c r="F10" s="9"/>
      <c r="G10" s="9"/>
      <c r="H10" s="9"/>
      <c r="I10" s="9"/>
      <c r="J10" s="9"/>
      <c r="K10" s="9"/>
      <c r="L10" s="10"/>
      <c r="M10" s="10"/>
    </row>
    <row r="11" spans="1:20" ht="13.8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1" t="s">
        <v>1</v>
      </c>
      <c r="N11" s="9"/>
      <c r="O11" s="9"/>
      <c r="P11" s="9"/>
      <c r="Q11" s="11" t="s">
        <v>2</v>
      </c>
      <c r="R11" s="9"/>
      <c r="S11" s="9"/>
      <c r="T11" s="9"/>
    </row>
    <row r="12" spans="1:20" ht="14.4" thickBot="1" x14ac:dyDescent="0.35">
      <c r="A12" s="11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</row>
    <row r="13" spans="1:20" ht="13.8" x14ac:dyDescent="0.3">
      <c r="A13" s="13" t="s">
        <v>17</v>
      </c>
      <c r="B13" s="14" t="s">
        <v>18</v>
      </c>
      <c r="C13" s="34">
        <v>120</v>
      </c>
      <c r="D13" s="9"/>
      <c r="E13" s="13" t="s">
        <v>19</v>
      </c>
      <c r="F13" s="24"/>
      <c r="G13" s="24"/>
      <c r="H13" s="14" t="s">
        <v>20</v>
      </c>
      <c r="I13" s="25">
        <f>TOGW/WOS</f>
        <v>791.66666666666663</v>
      </c>
      <c r="J13" s="9"/>
      <c r="K13" s="9"/>
      <c r="L13" s="10"/>
      <c r="M13" s="29"/>
      <c r="N13" s="24"/>
      <c r="O13" s="30" t="s">
        <v>3</v>
      </c>
      <c r="P13" s="30" t="s">
        <v>4</v>
      </c>
      <c r="Q13" s="30" t="s">
        <v>5</v>
      </c>
      <c r="R13" s="31"/>
    </row>
    <row r="14" spans="1:20" ht="13.8" x14ac:dyDescent="0.3">
      <c r="A14" s="16" t="s">
        <v>22</v>
      </c>
      <c r="B14" s="3" t="s">
        <v>23</v>
      </c>
      <c r="C14" s="35">
        <v>0.25</v>
      </c>
      <c r="D14" s="9"/>
      <c r="E14" s="16" t="s">
        <v>24</v>
      </c>
      <c r="F14" s="4"/>
      <c r="G14" s="4"/>
      <c r="H14" s="3" t="s">
        <v>25</v>
      </c>
      <c r="I14" s="47">
        <f>SQRT(AR*SREF)</f>
        <v>84.409715080670665</v>
      </c>
      <c r="J14" s="9"/>
      <c r="K14" s="9"/>
      <c r="L14" s="10"/>
      <c r="M14" s="18"/>
      <c r="N14" s="4"/>
      <c r="O14" s="4"/>
      <c r="P14" s="5" t="s">
        <v>6</v>
      </c>
      <c r="Q14" s="4"/>
      <c r="R14" s="19"/>
    </row>
    <row r="15" spans="1:20" ht="13.8" x14ac:dyDescent="0.3">
      <c r="A15" s="16" t="s">
        <v>27</v>
      </c>
      <c r="B15" s="3" t="s">
        <v>28</v>
      </c>
      <c r="C15" s="35">
        <v>95000</v>
      </c>
      <c r="D15" s="9"/>
      <c r="E15" s="18"/>
      <c r="F15" s="4"/>
      <c r="G15" s="4"/>
      <c r="H15" s="4"/>
      <c r="I15" s="19"/>
      <c r="J15" s="9"/>
      <c r="K15" s="9"/>
      <c r="L15" s="10"/>
      <c r="M15" s="16" t="s">
        <v>7</v>
      </c>
      <c r="N15" s="4"/>
      <c r="O15" s="6">
        <f>0.114*C15</f>
        <v>10830</v>
      </c>
      <c r="P15" s="6">
        <f>0.39*385*2+100</f>
        <v>400.3</v>
      </c>
      <c r="Q15" s="6">
        <f t="shared" ref="Q15:Q21" si="0">O15*P15</f>
        <v>4335249</v>
      </c>
      <c r="R15" s="19"/>
    </row>
    <row r="16" spans="1:20" ht="13.8" x14ac:dyDescent="0.3">
      <c r="A16" s="18"/>
      <c r="B16" s="4"/>
      <c r="C16" s="36"/>
      <c r="D16" s="9"/>
      <c r="E16" s="18"/>
      <c r="F16" s="4"/>
      <c r="G16" s="4"/>
      <c r="H16" s="4"/>
      <c r="I16" s="19"/>
      <c r="J16" s="9"/>
      <c r="K16" s="9"/>
      <c r="L16" s="10"/>
      <c r="M16" s="16" t="s">
        <v>8</v>
      </c>
      <c r="N16" s="4"/>
      <c r="O16" s="6">
        <f>0.1*C15</f>
        <v>9500</v>
      </c>
      <c r="P16" s="6">
        <f>XLEMAC+20</f>
        <v>410</v>
      </c>
      <c r="Q16" s="6">
        <f t="shared" si="0"/>
        <v>3895000</v>
      </c>
      <c r="R16" s="19"/>
    </row>
    <row r="17" spans="1:18" ht="13.8" x14ac:dyDescent="0.3">
      <c r="A17" s="16" t="s">
        <v>30</v>
      </c>
      <c r="B17" s="4"/>
      <c r="C17" s="36"/>
      <c r="D17" s="9"/>
      <c r="E17" s="18"/>
      <c r="F17" s="4"/>
      <c r="G17" s="4"/>
      <c r="H17" s="4"/>
      <c r="I17" s="19"/>
      <c r="J17" s="9"/>
      <c r="K17" s="9"/>
      <c r="L17" s="10"/>
      <c r="M17" s="16" t="s">
        <v>9</v>
      </c>
      <c r="N17" s="4"/>
      <c r="O17" s="6">
        <f>0.024*C15</f>
        <v>2280</v>
      </c>
      <c r="P17" s="6">
        <f>380*2</f>
        <v>760</v>
      </c>
      <c r="Q17" s="6">
        <f t="shared" si="0"/>
        <v>1732800</v>
      </c>
      <c r="R17" s="19"/>
    </row>
    <row r="18" spans="1:18" ht="13.8" x14ac:dyDescent="0.3">
      <c r="A18" s="16" t="s">
        <v>32</v>
      </c>
      <c r="B18" s="3" t="s">
        <v>33</v>
      </c>
      <c r="C18" s="35">
        <v>9</v>
      </c>
      <c r="D18" s="9"/>
      <c r="E18" s="16" t="s">
        <v>34</v>
      </c>
      <c r="F18" s="4"/>
      <c r="G18" s="4"/>
      <c r="H18" s="3" t="s">
        <v>35</v>
      </c>
      <c r="I18" s="20">
        <f>2*PI()/(1+2*PI()*(1.05+0.018*AR-(0.05+0.018*AR)*(1-LAMBDA)/0.7)/(PI()*AR))</f>
        <v>4.9499884247738333</v>
      </c>
      <c r="J18" s="11" t="s">
        <v>36</v>
      </c>
      <c r="K18" s="9"/>
      <c r="L18" s="10"/>
      <c r="M18" s="16" t="s">
        <v>10</v>
      </c>
      <c r="N18" s="4"/>
      <c r="O18" s="6">
        <f>2/3*0.015*C15</f>
        <v>949.99999999999989</v>
      </c>
      <c r="P18" s="6">
        <f>170*2</f>
        <v>340</v>
      </c>
      <c r="Q18" s="6">
        <f t="shared" si="0"/>
        <v>322999.99999999994</v>
      </c>
      <c r="R18" s="19"/>
    </row>
    <row r="19" spans="1:18" ht="13.8" x14ac:dyDescent="0.3">
      <c r="A19" s="16" t="s">
        <v>38</v>
      </c>
      <c r="B19" s="3" t="s">
        <v>39</v>
      </c>
      <c r="C19" s="35">
        <v>1</v>
      </c>
      <c r="D19" s="9"/>
      <c r="E19" s="16" t="s">
        <v>137</v>
      </c>
      <c r="F19" s="4"/>
      <c r="G19" s="4"/>
      <c r="H19" s="3" t="s">
        <v>40</v>
      </c>
      <c r="I19" s="20">
        <f>2/3*CROOT*(1+LAMBDA+LAMBDA^2)/(1+LAMBDA)</f>
        <v>60</v>
      </c>
      <c r="J19" s="9"/>
      <c r="K19" s="9"/>
      <c r="L19" s="10"/>
      <c r="M19" s="16" t="s">
        <v>11</v>
      </c>
      <c r="N19" s="4"/>
      <c r="O19" s="6">
        <f>O18/2</f>
        <v>474.99999999999994</v>
      </c>
      <c r="P19" s="6">
        <f>360*2</f>
        <v>720</v>
      </c>
      <c r="Q19" s="6">
        <f t="shared" si="0"/>
        <v>341999.99999999994</v>
      </c>
      <c r="R19" s="19"/>
    </row>
    <row r="20" spans="1:18" ht="13.8" x14ac:dyDescent="0.3">
      <c r="A20" s="16" t="s">
        <v>42</v>
      </c>
      <c r="B20" s="3" t="s">
        <v>43</v>
      </c>
      <c r="C20" s="35">
        <v>60</v>
      </c>
      <c r="D20" s="9"/>
      <c r="E20" s="16" t="s">
        <v>147</v>
      </c>
      <c r="F20" s="4"/>
      <c r="G20" s="4"/>
      <c r="H20" s="3" t="s">
        <v>44</v>
      </c>
      <c r="I20" s="20">
        <f>PI()/9*CLALPHA*(1/LAMBDA)^0.3/AR^0.725*(3*MAC/LH)^0.25</f>
        <v>0.29745830044679589</v>
      </c>
      <c r="J20" s="9"/>
      <c r="K20" s="9"/>
      <c r="L20" s="10"/>
      <c r="M20" s="16" t="s">
        <v>14</v>
      </c>
      <c r="N20" s="4"/>
      <c r="O20" s="6">
        <f>0.041*C15</f>
        <v>3895</v>
      </c>
      <c r="P20" s="6">
        <f>210*2</f>
        <v>420</v>
      </c>
      <c r="Q20" s="6">
        <f t="shared" si="0"/>
        <v>1635900</v>
      </c>
      <c r="R20" s="19"/>
    </row>
    <row r="21" spans="1:18" ht="13.8" x14ac:dyDescent="0.3">
      <c r="A21" s="16" t="s">
        <v>46</v>
      </c>
      <c r="B21" s="3" t="s">
        <v>47</v>
      </c>
      <c r="C21" s="35">
        <v>0.15</v>
      </c>
      <c r="D21" s="9"/>
      <c r="E21" s="16" t="s">
        <v>138</v>
      </c>
      <c r="F21" s="4"/>
      <c r="G21" s="4"/>
      <c r="H21" s="3" t="s">
        <v>48</v>
      </c>
      <c r="I21" s="17">
        <f>XACBAR*MAC</f>
        <v>9</v>
      </c>
      <c r="J21" s="9"/>
      <c r="K21" s="9"/>
      <c r="L21" s="10"/>
      <c r="M21" s="16" t="s">
        <v>15</v>
      </c>
      <c r="N21" s="4"/>
      <c r="O21" s="6">
        <f>0.144*C15</f>
        <v>13679.999999999998</v>
      </c>
      <c r="P21" s="6">
        <v>350</v>
      </c>
      <c r="Q21" s="6">
        <f t="shared" si="0"/>
        <v>4787999.9999999991</v>
      </c>
      <c r="R21" s="19"/>
    </row>
    <row r="22" spans="1:18" ht="13.8" x14ac:dyDescent="0.3">
      <c r="A22" s="16" t="s">
        <v>50</v>
      </c>
      <c r="B22" s="3" t="s">
        <v>51</v>
      </c>
      <c r="C22" s="35">
        <v>144</v>
      </c>
      <c r="D22" s="9"/>
      <c r="E22" s="16" t="s">
        <v>52</v>
      </c>
      <c r="F22" s="4"/>
      <c r="G22" s="4"/>
      <c r="H22" s="3" t="s">
        <v>53</v>
      </c>
      <c r="I22" s="26">
        <f>P17-MAX(P27:P34)</f>
        <v>350.1958904109589</v>
      </c>
      <c r="J22" s="11" t="s">
        <v>54</v>
      </c>
      <c r="K22" s="9"/>
      <c r="L22" s="10"/>
      <c r="M22" s="18"/>
      <c r="N22" s="4"/>
      <c r="O22" s="4"/>
      <c r="P22" s="4"/>
      <c r="Q22" s="4"/>
      <c r="R22" s="19"/>
    </row>
    <row r="23" spans="1:18" ht="13.8" x14ac:dyDescent="0.3">
      <c r="A23" s="16" t="s">
        <v>55</v>
      </c>
      <c r="B23" s="3" t="s">
        <v>56</v>
      </c>
      <c r="C23" s="35">
        <v>144</v>
      </c>
      <c r="D23" s="9"/>
      <c r="E23" s="18"/>
      <c r="F23" s="4"/>
      <c r="G23" s="4"/>
      <c r="H23" s="4"/>
      <c r="I23" s="19"/>
      <c r="J23" s="9"/>
      <c r="K23" s="9"/>
      <c r="L23" s="10"/>
      <c r="M23" s="16" t="s">
        <v>21</v>
      </c>
      <c r="N23" s="4"/>
      <c r="O23" s="37">
        <v>440</v>
      </c>
      <c r="P23" s="6">
        <v>200</v>
      </c>
      <c r="Q23" s="6">
        <f>O23*P23</f>
        <v>88000</v>
      </c>
      <c r="R23" s="19"/>
    </row>
    <row r="24" spans="1:18" ht="13.8" x14ac:dyDescent="0.3">
      <c r="A24" s="16" t="s">
        <v>58</v>
      </c>
      <c r="B24" s="3" t="s">
        <v>59</v>
      </c>
      <c r="C24" s="35">
        <v>100</v>
      </c>
      <c r="D24" s="9"/>
      <c r="E24" s="16" t="s">
        <v>60</v>
      </c>
      <c r="F24" s="4"/>
      <c r="G24" s="4"/>
      <c r="H24" s="3" t="s">
        <v>61</v>
      </c>
      <c r="I24" s="26">
        <f>R37+C24*TAN(15*PI()/180)</f>
        <v>27.110612050129813</v>
      </c>
      <c r="J24" s="9"/>
      <c r="K24" s="9"/>
      <c r="L24" s="10"/>
      <c r="M24" s="16" t="s">
        <v>26</v>
      </c>
      <c r="N24" s="4"/>
      <c r="O24" s="6">
        <f>0.015*C15</f>
        <v>1425</v>
      </c>
      <c r="P24" s="6">
        <f>C25+20</f>
        <v>410</v>
      </c>
      <c r="Q24" s="6">
        <f>O24*P24</f>
        <v>584250</v>
      </c>
      <c r="R24" s="19"/>
    </row>
    <row r="25" spans="1:18" ht="13.8" x14ac:dyDescent="0.3">
      <c r="A25" s="16" t="s">
        <v>62</v>
      </c>
      <c r="B25" s="3" t="s">
        <v>63</v>
      </c>
      <c r="C25" s="35">
        <v>390</v>
      </c>
      <c r="D25" s="9"/>
      <c r="E25" s="18"/>
      <c r="F25" s="4"/>
      <c r="G25" s="4"/>
      <c r="H25" s="4"/>
      <c r="I25" s="19"/>
      <c r="J25" s="9"/>
      <c r="K25" s="9"/>
      <c r="L25" s="10"/>
      <c r="M25" s="18"/>
      <c r="N25" s="4"/>
      <c r="O25" s="4"/>
      <c r="P25" s="4"/>
      <c r="Q25" s="4"/>
      <c r="R25" s="19"/>
    </row>
    <row r="26" spans="1:18" ht="13.8" x14ac:dyDescent="0.3">
      <c r="A26" s="16" t="s">
        <v>64</v>
      </c>
      <c r="B26" s="3" t="s">
        <v>65</v>
      </c>
      <c r="C26" s="35">
        <v>5</v>
      </c>
      <c r="D26" s="9"/>
      <c r="E26" s="16" t="s">
        <v>66</v>
      </c>
      <c r="F26" s="4"/>
      <c r="G26" s="4"/>
      <c r="H26" s="3" t="s">
        <v>67</v>
      </c>
      <c r="I26" s="20">
        <f>2*PI()/(1+2*PI()*(1.05+0.018*ARHT-(0.05+0.018*ARHT)*(1-LAMBDAHT)/0.7)/(PI()*ARHT))</f>
        <v>4.4372777593076176</v>
      </c>
      <c r="J26" s="9"/>
      <c r="K26" s="9"/>
      <c r="L26" s="10"/>
      <c r="M26" s="16" t="s">
        <v>29</v>
      </c>
      <c r="N26" s="4"/>
      <c r="O26" s="6">
        <f>C15-O29-O23-O24</f>
        <v>51525</v>
      </c>
      <c r="P26" s="6">
        <f>C25+20</f>
        <v>410</v>
      </c>
      <c r="Q26" s="6">
        <f>O26*P26</f>
        <v>21125250</v>
      </c>
      <c r="R26" s="19"/>
    </row>
    <row r="27" spans="1:18" ht="13.8" x14ac:dyDescent="0.3">
      <c r="A27" s="16" t="s">
        <v>70</v>
      </c>
      <c r="B27" s="3" t="s">
        <v>71</v>
      </c>
      <c r="C27" s="35">
        <v>0.5</v>
      </c>
      <c r="D27" s="9"/>
      <c r="E27" s="18"/>
      <c r="F27" s="4"/>
      <c r="G27" s="4"/>
      <c r="H27" s="4"/>
      <c r="I27" s="19"/>
      <c r="J27" s="9"/>
      <c r="K27" s="9"/>
      <c r="L27" s="10"/>
      <c r="M27" s="16" t="s">
        <v>31</v>
      </c>
      <c r="N27" s="4"/>
      <c r="O27" s="37">
        <v>20000</v>
      </c>
      <c r="P27" s="6">
        <v>390</v>
      </c>
      <c r="Q27" s="6">
        <f>O27*P27</f>
        <v>7800000</v>
      </c>
      <c r="R27" s="19"/>
    </row>
    <row r="28" spans="1:18" ht="13.8" x14ac:dyDescent="0.3">
      <c r="A28" s="16" t="s">
        <v>74</v>
      </c>
      <c r="B28" s="3" t="s">
        <v>75</v>
      </c>
      <c r="C28" s="35">
        <v>1.1499999999999999</v>
      </c>
      <c r="D28" s="9"/>
      <c r="E28" s="16" t="s">
        <v>76</v>
      </c>
      <c r="F28" s="4"/>
      <c r="G28" s="4"/>
      <c r="H28" s="4"/>
      <c r="I28" s="19"/>
      <c r="J28" s="9"/>
      <c r="K28" s="9"/>
      <c r="L28" s="10"/>
      <c r="M28" s="18"/>
      <c r="N28" s="4"/>
      <c r="O28" s="4"/>
      <c r="P28" s="4"/>
      <c r="Q28" s="4"/>
      <c r="R28" s="32" t="s">
        <v>37</v>
      </c>
    </row>
    <row r="29" spans="1:18" ht="13.8" x14ac:dyDescent="0.3">
      <c r="A29" s="16" t="s">
        <v>77</v>
      </c>
      <c r="B29" s="3" t="s">
        <v>78</v>
      </c>
      <c r="C29" s="35">
        <v>0.88</v>
      </c>
      <c r="D29" s="9"/>
      <c r="E29" s="18"/>
      <c r="F29" s="4"/>
      <c r="G29" s="4"/>
      <c r="H29" s="4"/>
      <c r="I29" s="19"/>
      <c r="J29" s="9"/>
      <c r="K29" s="9"/>
      <c r="L29" s="10"/>
      <c r="M29" s="16" t="s">
        <v>41</v>
      </c>
      <c r="N29" s="4"/>
      <c r="O29" s="6">
        <f>SUM(O15:O21)</f>
        <v>41610</v>
      </c>
      <c r="P29" s="7">
        <f>Q29/O29</f>
        <v>409.8041095890411</v>
      </c>
      <c r="Q29" s="6">
        <f>SUM(Q15:Q21)</f>
        <v>17051949</v>
      </c>
      <c r="R29" s="20">
        <f t="shared" ref="R29:R34" si="1">(P29-$C$25)/$I$19</f>
        <v>0.33006849315068509</v>
      </c>
    </row>
    <row r="30" spans="1:18" ht="13.8" x14ac:dyDescent="0.3">
      <c r="A30" s="16" t="s">
        <v>79</v>
      </c>
      <c r="B30" s="3" t="s">
        <v>80</v>
      </c>
      <c r="C30" s="35">
        <v>0.3</v>
      </c>
      <c r="D30" s="9"/>
      <c r="E30" s="16" t="s">
        <v>81</v>
      </c>
      <c r="F30" s="4"/>
      <c r="G30" s="4"/>
      <c r="H30" s="3" t="s">
        <v>82</v>
      </c>
      <c r="I30" s="20">
        <f>0.931*SQRT(SEOSHORZ)</f>
        <v>0.50992970103730961</v>
      </c>
      <c r="J30" s="9"/>
      <c r="K30" s="9"/>
      <c r="L30" s="10"/>
      <c r="M30" s="16" t="s">
        <v>45</v>
      </c>
      <c r="N30" s="4"/>
      <c r="O30" s="6">
        <f>O29+O23+O24</f>
        <v>43475</v>
      </c>
      <c r="P30" s="7">
        <f>Q30/O30</f>
        <v>407.68715353651521</v>
      </c>
      <c r="Q30" s="6">
        <f>Q29+Q23+Q24</f>
        <v>17724199</v>
      </c>
      <c r="R30" s="20">
        <f t="shared" si="1"/>
        <v>0.29478589227525354</v>
      </c>
    </row>
    <row r="31" spans="1:18" ht="13.8" x14ac:dyDescent="0.3">
      <c r="A31" s="18"/>
      <c r="B31" s="4"/>
      <c r="C31" s="36"/>
      <c r="D31" s="9"/>
      <c r="E31" s="18"/>
      <c r="F31" s="4"/>
      <c r="G31" s="4"/>
      <c r="H31" s="4"/>
      <c r="I31" s="19"/>
      <c r="J31" s="9"/>
      <c r="K31" s="9"/>
      <c r="L31" s="10"/>
      <c r="M31" s="16" t="s">
        <v>49</v>
      </c>
      <c r="N31" s="4"/>
      <c r="O31" s="6">
        <f>O30+O27</f>
        <v>63475</v>
      </c>
      <c r="P31" s="7">
        <f>Q31/O31</f>
        <v>402.11420244190629</v>
      </c>
      <c r="Q31" s="6">
        <f>Q30+Q27</f>
        <v>25524199</v>
      </c>
      <c r="R31" s="20">
        <f t="shared" si="1"/>
        <v>0.20190337403177144</v>
      </c>
    </row>
    <row r="32" spans="1:18" ht="15" x14ac:dyDescent="0.35">
      <c r="A32" s="16" t="s">
        <v>83</v>
      </c>
      <c r="B32" s="3" t="s">
        <v>84</v>
      </c>
      <c r="C32" s="35">
        <v>0.1</v>
      </c>
      <c r="D32" s="9"/>
      <c r="E32" s="16" t="s">
        <v>146</v>
      </c>
      <c r="F32" s="4"/>
      <c r="G32" s="4"/>
      <c r="H32" s="3" t="s">
        <v>85</v>
      </c>
      <c r="I32" s="17">
        <f>1-0.8*EXP(-5.5*H/(SPAN*12))</f>
        <v>0.63397149641155837</v>
      </c>
      <c r="J32" s="9"/>
      <c r="K32" s="9"/>
      <c r="L32" s="10"/>
      <c r="M32" s="16" t="s">
        <v>27</v>
      </c>
      <c r="N32" s="4"/>
      <c r="O32" s="6">
        <f>O33+O27</f>
        <v>115000</v>
      </c>
      <c r="P32" s="7">
        <f>Q32/O32</f>
        <v>405.64738260869564</v>
      </c>
      <c r="Q32" s="6">
        <f>Q33+Q27</f>
        <v>46649449</v>
      </c>
      <c r="R32" s="20">
        <f t="shared" si="1"/>
        <v>0.2607897101449273</v>
      </c>
    </row>
    <row r="33" spans="1:18" ht="13.8" x14ac:dyDescent="0.3">
      <c r="A33" s="18"/>
      <c r="B33" s="4"/>
      <c r="C33" s="19"/>
      <c r="D33" s="9"/>
      <c r="E33" s="16" t="s">
        <v>86</v>
      </c>
      <c r="F33" s="4"/>
      <c r="G33" s="4"/>
      <c r="H33" s="3" t="s">
        <v>87</v>
      </c>
      <c r="I33" s="20">
        <f>2*PI()/(1+2*PI()*(1.05+0.018*$C$18/I32-(0.05+0.018*$C$18/I32)*(1-$C$19)/0.7)/(PI()*$C$18/I32))</f>
        <v>5.307072980172193</v>
      </c>
      <c r="J33" s="9"/>
      <c r="K33" s="9"/>
      <c r="L33" s="10"/>
      <c r="M33" s="16" t="s">
        <v>57</v>
      </c>
      <c r="N33" s="4"/>
      <c r="O33" s="6">
        <f>O30+O26</f>
        <v>95000</v>
      </c>
      <c r="P33" s="7">
        <f>Q33/O33</f>
        <v>408.94156842105264</v>
      </c>
      <c r="Q33" s="6">
        <f>Q30+Q26</f>
        <v>38849449</v>
      </c>
      <c r="R33" s="20">
        <f t="shared" si="1"/>
        <v>0.31569280701754393</v>
      </c>
    </row>
    <row r="34" spans="1:18" ht="13.8" x14ac:dyDescent="0.3">
      <c r="A34" s="16" t="s">
        <v>90</v>
      </c>
      <c r="B34" s="3" t="s">
        <v>91</v>
      </c>
      <c r="C34" s="35">
        <v>0.9</v>
      </c>
      <c r="D34" s="9"/>
      <c r="E34" s="18"/>
      <c r="F34" s="4"/>
      <c r="G34" s="4"/>
      <c r="H34" s="4"/>
      <c r="I34" s="19"/>
      <c r="J34" s="9"/>
      <c r="K34" s="9"/>
      <c r="L34" s="10"/>
      <c r="M34" s="16" t="s">
        <v>45</v>
      </c>
      <c r="N34" s="4"/>
      <c r="O34" s="6">
        <f>O30</f>
        <v>43475</v>
      </c>
      <c r="P34" s="7">
        <f>P30</f>
        <v>407.68715353651521</v>
      </c>
      <c r="Q34" s="6">
        <f>Q30</f>
        <v>17724199</v>
      </c>
      <c r="R34" s="20">
        <f t="shared" si="1"/>
        <v>0.29478589227525354</v>
      </c>
    </row>
    <row r="35" spans="1:18" ht="13.8" x14ac:dyDescent="0.3">
      <c r="A35" s="16" t="s">
        <v>94</v>
      </c>
      <c r="B35" s="3" t="s">
        <v>95</v>
      </c>
      <c r="C35" s="35">
        <v>0.75</v>
      </c>
      <c r="D35" s="9"/>
      <c r="E35" s="16" t="s">
        <v>88</v>
      </c>
      <c r="F35" s="4"/>
      <c r="G35" s="4"/>
      <c r="H35" s="3" t="s">
        <v>89</v>
      </c>
      <c r="I35" s="17">
        <f>0.5*0.00238*(I37*1.69)^2</f>
        <v>57.598016666666666</v>
      </c>
      <c r="J35" s="9"/>
      <c r="K35" s="9"/>
      <c r="L35" s="10"/>
      <c r="M35" s="18"/>
      <c r="N35" s="4"/>
      <c r="O35" s="4"/>
      <c r="P35" s="4"/>
      <c r="Q35" s="4"/>
      <c r="R35" s="20"/>
    </row>
    <row r="36" spans="1:18" ht="13.8" x14ac:dyDescent="0.3">
      <c r="A36" s="16" t="s">
        <v>98</v>
      </c>
      <c r="B36" s="4"/>
      <c r="C36" s="19"/>
      <c r="D36" s="9"/>
      <c r="E36" s="16" t="s">
        <v>92</v>
      </c>
      <c r="F36" s="4"/>
      <c r="G36" s="4"/>
      <c r="H36" s="3" t="s">
        <v>93</v>
      </c>
      <c r="I36" s="27">
        <f>SQRT(C13/(2*0.00238*C43))</f>
        <v>118.34526708278771</v>
      </c>
      <c r="J36" s="9"/>
      <c r="K36" s="9"/>
      <c r="L36" s="10"/>
      <c r="M36" s="16" t="s">
        <v>68</v>
      </c>
      <c r="N36" s="4"/>
      <c r="O36" s="4"/>
      <c r="P36" s="4"/>
      <c r="Q36" s="3" t="s">
        <v>69</v>
      </c>
      <c r="R36" s="20">
        <f>MIN(R30:R34)</f>
        <v>0.20190337403177144</v>
      </c>
    </row>
    <row r="37" spans="1:18" ht="14.4" thickBot="1" x14ac:dyDescent="0.35">
      <c r="A37" s="18"/>
      <c r="B37" s="4"/>
      <c r="C37" s="19"/>
      <c r="D37" s="9"/>
      <c r="E37" s="16" t="s">
        <v>96</v>
      </c>
      <c r="F37" s="4"/>
      <c r="G37" s="4"/>
      <c r="H37" s="3" t="s">
        <v>97</v>
      </c>
      <c r="I37" s="27">
        <f>1.1*I36</f>
        <v>130.17979379106649</v>
      </c>
      <c r="J37" s="9"/>
      <c r="K37" s="9"/>
      <c r="L37" s="10"/>
      <c r="M37" s="21" t="s">
        <v>72</v>
      </c>
      <c r="N37" s="28"/>
      <c r="O37" s="28"/>
      <c r="P37" s="28"/>
      <c r="Q37" s="22" t="s">
        <v>73</v>
      </c>
      <c r="R37" s="33">
        <f>MAX(R30:R34)</f>
        <v>0.31569280701754393</v>
      </c>
    </row>
    <row r="38" spans="1:18" ht="15" x14ac:dyDescent="0.35">
      <c r="A38" s="16" t="s">
        <v>140</v>
      </c>
      <c r="B38" s="3" t="s">
        <v>100</v>
      </c>
      <c r="C38" s="48">
        <v>3.5000000000000003E-2</v>
      </c>
      <c r="D38" s="9"/>
      <c r="E38" s="18"/>
      <c r="F38" s="4"/>
      <c r="G38" s="4"/>
      <c r="H38" s="4"/>
      <c r="I38" s="19"/>
      <c r="J38" s="9"/>
      <c r="K38" s="9"/>
      <c r="L38" s="10"/>
      <c r="M38" s="10"/>
    </row>
    <row r="39" spans="1:18" ht="15" x14ac:dyDescent="0.35">
      <c r="A39" s="16" t="s">
        <v>141</v>
      </c>
      <c r="B39" s="3" t="s">
        <v>101</v>
      </c>
      <c r="C39" s="49">
        <v>-0.1</v>
      </c>
      <c r="D39" s="9"/>
      <c r="E39" s="16" t="s">
        <v>144</v>
      </c>
      <c r="F39" s="4"/>
      <c r="G39" s="4"/>
      <c r="H39" s="3" t="s">
        <v>99</v>
      </c>
      <c r="I39" s="20">
        <f>C47*I33*PI()/180</f>
        <v>0.185251794295265</v>
      </c>
      <c r="J39" s="9"/>
      <c r="K39" s="9"/>
      <c r="L39" s="10"/>
    </row>
    <row r="40" spans="1:18" ht="15" x14ac:dyDescent="0.35">
      <c r="A40" s="16" t="s">
        <v>143</v>
      </c>
      <c r="B40" s="3" t="s">
        <v>102</v>
      </c>
      <c r="C40" s="49">
        <v>-0.4</v>
      </c>
      <c r="D40" s="9"/>
      <c r="E40" s="18"/>
      <c r="F40" s="4"/>
      <c r="G40" s="4"/>
      <c r="H40" s="4"/>
      <c r="I40" s="19"/>
      <c r="J40" s="9"/>
      <c r="K40" s="9"/>
      <c r="L40" s="10"/>
    </row>
    <row r="41" spans="1:18" ht="15" x14ac:dyDescent="0.35">
      <c r="A41" s="18"/>
      <c r="B41" s="4"/>
      <c r="C41" s="19"/>
      <c r="D41" s="9"/>
      <c r="E41" s="16" t="s">
        <v>145</v>
      </c>
      <c r="F41" s="4"/>
      <c r="G41" s="4"/>
      <c r="H41" s="3" t="s">
        <v>110</v>
      </c>
      <c r="I41" s="27">
        <f>I33*C46*PI()/180</f>
        <v>1.3893884572144877</v>
      </c>
      <c r="J41" s="9"/>
      <c r="K41" s="9"/>
      <c r="L41" s="10"/>
      <c r="M41" s="10"/>
    </row>
    <row r="42" spans="1:18" ht="13.8" x14ac:dyDescent="0.3">
      <c r="A42" s="16" t="s">
        <v>103</v>
      </c>
      <c r="B42" s="3" t="s">
        <v>104</v>
      </c>
      <c r="C42" s="35">
        <v>-30</v>
      </c>
      <c r="D42" s="9"/>
      <c r="E42" s="18"/>
      <c r="F42" s="4"/>
      <c r="G42" s="4"/>
      <c r="H42" s="4"/>
      <c r="I42" s="19"/>
      <c r="J42" s="9"/>
      <c r="K42" s="9"/>
      <c r="L42" s="10"/>
      <c r="M42" s="10"/>
    </row>
    <row r="43" spans="1:18" ht="15.6" thickBot="1" x14ac:dyDescent="0.4">
      <c r="A43" s="16" t="s">
        <v>142</v>
      </c>
      <c r="B43" s="3" t="s">
        <v>105</v>
      </c>
      <c r="C43" s="35">
        <v>1.8</v>
      </c>
      <c r="D43" s="9"/>
      <c r="E43" s="21" t="s">
        <v>115</v>
      </c>
      <c r="F43" s="28"/>
      <c r="G43" s="28"/>
      <c r="H43" s="22" t="s">
        <v>116</v>
      </c>
      <c r="I43" s="23">
        <f>C46+C48</f>
        <v>10</v>
      </c>
      <c r="J43" s="9"/>
      <c r="K43" s="9"/>
      <c r="L43" s="10"/>
      <c r="M43" s="10"/>
    </row>
    <row r="44" spans="1:18" ht="13.8" x14ac:dyDescent="0.3">
      <c r="A44" s="18"/>
      <c r="B44" s="4"/>
      <c r="C44" s="19"/>
      <c r="D44" s="9"/>
      <c r="E44" s="9"/>
      <c r="F44" s="9"/>
      <c r="G44" s="9"/>
      <c r="H44" s="9"/>
      <c r="I44" s="9"/>
      <c r="J44" s="9"/>
      <c r="K44" s="9"/>
      <c r="L44" s="10"/>
      <c r="M44" s="10"/>
    </row>
    <row r="45" spans="1:18" ht="13.8" x14ac:dyDescent="0.3">
      <c r="A45" s="16" t="s">
        <v>106</v>
      </c>
      <c r="B45" s="3" t="s">
        <v>107</v>
      </c>
      <c r="C45" s="35">
        <v>1.04</v>
      </c>
      <c r="D45" s="9"/>
      <c r="E45" s="9"/>
      <c r="F45" s="9"/>
      <c r="G45" s="9"/>
      <c r="H45" s="9"/>
      <c r="I45" s="9"/>
      <c r="J45" s="9"/>
      <c r="K45" s="9"/>
      <c r="L45" s="10"/>
      <c r="M45" s="10"/>
    </row>
    <row r="46" spans="1:18" ht="13.8" x14ac:dyDescent="0.3">
      <c r="A46" s="16" t="s">
        <v>108</v>
      </c>
      <c r="B46" s="3" t="s">
        <v>109</v>
      </c>
      <c r="C46" s="35">
        <v>15</v>
      </c>
      <c r="D46" s="9"/>
      <c r="E46" s="9"/>
      <c r="F46" s="9"/>
      <c r="G46" s="9"/>
      <c r="H46" s="9"/>
      <c r="I46" s="9"/>
      <c r="J46" s="9"/>
      <c r="K46" s="9"/>
      <c r="L46" s="10"/>
      <c r="M46" s="10"/>
    </row>
    <row r="47" spans="1:18" ht="13.8" x14ac:dyDescent="0.3">
      <c r="A47" s="16" t="s">
        <v>111</v>
      </c>
      <c r="B47" s="3" t="s">
        <v>112</v>
      </c>
      <c r="C47" s="35">
        <v>2</v>
      </c>
      <c r="D47" s="9"/>
      <c r="E47" s="9"/>
      <c r="F47" s="9"/>
      <c r="G47" s="9"/>
      <c r="H47" s="9"/>
      <c r="I47" s="9"/>
      <c r="J47" s="9"/>
      <c r="K47" s="9"/>
      <c r="L47" s="10"/>
      <c r="M47" s="10"/>
    </row>
    <row r="48" spans="1:18" ht="14.4" thickBot="1" x14ac:dyDescent="0.35">
      <c r="A48" s="21" t="s">
        <v>113</v>
      </c>
      <c r="B48" s="22" t="s">
        <v>114</v>
      </c>
      <c r="C48" s="50">
        <v>-5</v>
      </c>
      <c r="D48" s="9"/>
      <c r="J48" s="9"/>
      <c r="K48" s="9"/>
      <c r="L48" s="10"/>
      <c r="M48" s="10"/>
    </row>
    <row r="49" spans="1:13" ht="13.8" x14ac:dyDescent="0.3">
      <c r="D49" s="11"/>
      <c r="J49" s="9"/>
      <c r="K49" s="9"/>
      <c r="L49" s="10"/>
      <c r="M49" s="10"/>
    </row>
    <row r="50" spans="1:13" ht="13.8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  <c r="M50" s="10"/>
    </row>
    <row r="51" spans="1:13" ht="14.4" thickBot="1" x14ac:dyDescent="0.35">
      <c r="A51" s="46" t="s">
        <v>139</v>
      </c>
      <c r="B51" s="9"/>
      <c r="C51" s="9"/>
      <c r="D51" s="11" t="s">
        <v>117</v>
      </c>
      <c r="E51" s="9"/>
      <c r="F51" s="9"/>
      <c r="G51" s="9"/>
      <c r="H51" s="9"/>
      <c r="I51" s="9" t="s">
        <v>135</v>
      </c>
      <c r="J51" s="9" t="s">
        <v>136</v>
      </c>
      <c r="K51" s="9"/>
      <c r="L51" s="10"/>
      <c r="M51" s="10"/>
    </row>
    <row r="52" spans="1:13" ht="13.8" x14ac:dyDescent="0.3">
      <c r="A52" s="13" t="s">
        <v>118</v>
      </c>
      <c r="B52" s="14" t="s">
        <v>119</v>
      </c>
      <c r="C52" s="38">
        <v>0</v>
      </c>
      <c r="D52" s="38">
        <v>0.1</v>
      </c>
      <c r="E52" s="38">
        <v>0.2</v>
      </c>
      <c r="F52" s="38">
        <v>0.3</v>
      </c>
      <c r="G52" s="38">
        <v>0.4</v>
      </c>
      <c r="H52" s="38">
        <v>0.5</v>
      </c>
      <c r="I52" s="38">
        <f>R36</f>
        <v>0.20190337403177144</v>
      </c>
      <c r="J52" s="15">
        <f>R37</f>
        <v>0.31569280701754393</v>
      </c>
      <c r="K52" s="9"/>
      <c r="L52" s="10"/>
      <c r="M52" s="10"/>
    </row>
    <row r="53" spans="1:13" ht="13.8" x14ac:dyDescent="0.3">
      <c r="A53" s="16" t="s">
        <v>120</v>
      </c>
      <c r="B53" s="4"/>
      <c r="C53" s="6">
        <f t="shared" ref="C53:J53" si="2">C52+XACBAR</f>
        <v>0.15</v>
      </c>
      <c r="D53" s="6">
        <f t="shared" si="2"/>
        <v>0.25</v>
      </c>
      <c r="E53" s="6">
        <f t="shared" si="2"/>
        <v>0.35</v>
      </c>
      <c r="F53" s="6">
        <f t="shared" si="2"/>
        <v>0.44999999999999996</v>
      </c>
      <c r="G53" s="6">
        <f t="shared" si="2"/>
        <v>0.55000000000000004</v>
      </c>
      <c r="H53" s="6">
        <f t="shared" si="2"/>
        <v>0.65</v>
      </c>
      <c r="I53" s="6">
        <f t="shared" si="2"/>
        <v>0.35190337403177141</v>
      </c>
      <c r="J53" s="6">
        <f t="shared" si="2"/>
        <v>0.4656928070175439</v>
      </c>
      <c r="K53" s="9"/>
      <c r="L53" s="10"/>
      <c r="M53" s="10"/>
    </row>
    <row r="54" spans="1:13" ht="14.4" thickBot="1" x14ac:dyDescent="0.35">
      <c r="A54" s="21" t="s">
        <v>121</v>
      </c>
      <c r="B54" s="28"/>
      <c r="C54" s="39">
        <f t="shared" ref="C54:H54" si="3">CLALPHA*(C52+SM)/(CLALPHAHT*(1-DEOVERDA)*ETAT)</f>
        <v>0.13807581679577968</v>
      </c>
      <c r="D54" s="39">
        <f t="shared" si="3"/>
        <v>0.27615163359155936</v>
      </c>
      <c r="E54" s="39">
        <f t="shared" si="3"/>
        <v>0.4142274503873391</v>
      </c>
      <c r="F54" s="39">
        <f t="shared" si="3"/>
        <v>0.55230326718311873</v>
      </c>
      <c r="G54" s="39">
        <f t="shared" si="3"/>
        <v>0.69037908397889836</v>
      </c>
      <c r="H54" s="39">
        <f t="shared" si="3"/>
        <v>0.82845490077467809</v>
      </c>
      <c r="I54" s="28"/>
      <c r="J54" s="40"/>
      <c r="K54" s="9"/>
      <c r="L54" s="10"/>
      <c r="M54" s="10"/>
    </row>
    <row r="55" spans="1:13" ht="13.8" x14ac:dyDescent="0.3">
      <c r="A55" s="9"/>
      <c r="B55" s="9"/>
      <c r="C55" s="9"/>
      <c r="D55" s="9"/>
      <c r="E55" s="9"/>
      <c r="F55" s="9"/>
      <c r="G55" s="9"/>
      <c r="H55" s="9"/>
      <c r="I55" s="12">
        <f>C68</f>
        <v>0.57243130101621775</v>
      </c>
      <c r="J55" s="12">
        <f>C68</f>
        <v>0.57243130101621775</v>
      </c>
      <c r="K55" s="9"/>
      <c r="L55" s="10"/>
      <c r="M55" s="10"/>
    </row>
    <row r="56" spans="1:13" ht="14.4" thickBot="1" x14ac:dyDescent="0.35">
      <c r="A56" s="8" t="s">
        <v>122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0"/>
      <c r="M56" s="10"/>
    </row>
    <row r="57" spans="1:13" ht="14.4" thickBot="1" x14ac:dyDescent="0.35">
      <c r="A57" s="41" t="s">
        <v>121</v>
      </c>
      <c r="B57" s="42"/>
      <c r="C57" s="43">
        <f>(1/(MAC*QLOF)*WOWREF*WOS*(TOW*TLAPSE*ZT+XLG-XAC-C52*MAC)-CDOTO*ZT/MAC-$I$39*(XLG-XBARFWD)/$I$19-$C$39)/(-$I$26*($C$47+$C$48+$I$30*$C$42)*PI()/180*$C$28)</f>
        <v>0.7660225389465658</v>
      </c>
      <c r="D57" s="43">
        <f t="shared" ref="C57:H57" si="4">(1/(MAC*QLOF)*WOWREF*WOS*(TOW*$C$34*$C$23+$I$24-$I$21-D52*$I$19)-$C$38*$C$23/$I$19-$I$39*($I$24-$R$36)/$I$19-$C$39)/(-$I$26*($C$47+$C$48+$I$30*$C$42)*PI()/180*$C$28)</f>
        <v>0.67013942710719421</v>
      </c>
      <c r="E57" s="43">
        <f t="shared" si="4"/>
        <v>0.57425631526782273</v>
      </c>
      <c r="F57" s="43">
        <f t="shared" si="4"/>
        <v>0.4783732034284513</v>
      </c>
      <c r="G57" s="43">
        <f t="shared" si="4"/>
        <v>0.38249009158907971</v>
      </c>
      <c r="H57" s="43">
        <f t="shared" si="4"/>
        <v>0.28660697974970817</v>
      </c>
      <c r="I57" s="42"/>
      <c r="J57" s="44"/>
      <c r="K57" s="9"/>
      <c r="L57" s="10"/>
      <c r="M57" s="10"/>
    </row>
    <row r="58" spans="1:13" ht="13.8" x14ac:dyDescent="0.3">
      <c r="A58" s="9"/>
      <c r="B58" s="9"/>
      <c r="C58" s="9"/>
      <c r="D58" s="9"/>
      <c r="E58" s="9"/>
      <c r="F58" s="9"/>
      <c r="G58" s="11" t="s">
        <v>123</v>
      </c>
      <c r="H58" s="9"/>
      <c r="I58" s="9"/>
      <c r="J58" s="9"/>
      <c r="K58" s="9"/>
      <c r="L58" s="10"/>
      <c r="M58" s="10"/>
    </row>
    <row r="59" spans="1:13" ht="13.8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  <c r="M59" s="10"/>
    </row>
    <row r="60" spans="1:13" ht="14.4" thickBot="1" x14ac:dyDescent="0.35">
      <c r="A60" s="8" t="s">
        <v>124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0"/>
      <c r="M60" s="10"/>
    </row>
    <row r="61" spans="1:13" ht="14.4" thickBot="1" x14ac:dyDescent="0.35">
      <c r="A61" s="41" t="s">
        <v>121</v>
      </c>
      <c r="B61" s="42"/>
      <c r="C61" s="43">
        <f t="shared" ref="C61:H61" si="5">($I$41*C52+$C$40)/($I$26*$C$29*($I$43+$I$30*$C$42)*PI()/180*(1-$I$20/2))</f>
        <v>1.3014052465239969</v>
      </c>
      <c r="D61" s="43">
        <f t="shared" si="5"/>
        <v>0.84936588960429293</v>
      </c>
      <c r="E61" s="43">
        <f t="shared" si="5"/>
        <v>0.39732653268458895</v>
      </c>
      <c r="F61" s="43">
        <f t="shared" si="5"/>
        <v>-5.471282423511506E-2</v>
      </c>
      <c r="G61" s="43">
        <f t="shared" si="5"/>
        <v>-0.50675218115481901</v>
      </c>
      <c r="H61" s="43">
        <f t="shared" si="5"/>
        <v>-0.958791538074523</v>
      </c>
      <c r="I61" s="42"/>
      <c r="J61" s="44"/>
      <c r="K61" s="9"/>
      <c r="L61" s="10"/>
      <c r="M61" s="10"/>
    </row>
    <row r="62" spans="1:13" ht="13.8" x14ac:dyDescent="0.3">
      <c r="A62" s="9"/>
      <c r="B62" s="9"/>
      <c r="C62" s="9"/>
      <c r="D62" s="11" t="s">
        <v>125</v>
      </c>
      <c r="E62" s="9"/>
      <c r="F62" s="9"/>
      <c r="G62" s="9"/>
      <c r="H62" s="9"/>
      <c r="I62" s="9"/>
      <c r="J62" s="9"/>
      <c r="K62" s="9"/>
      <c r="L62" s="10"/>
      <c r="M62" s="10"/>
    </row>
    <row r="63" spans="1:13" ht="13.8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0"/>
      <c r="M63" s="10"/>
    </row>
    <row r="64" spans="1:13" ht="14.4" thickBo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0"/>
      <c r="M64" s="10"/>
    </row>
    <row r="65" spans="1:13" ht="13.8" x14ac:dyDescent="0.3">
      <c r="A65" s="13" t="s">
        <v>126</v>
      </c>
      <c r="B65" s="14" t="s">
        <v>127</v>
      </c>
      <c r="C65" s="15">
        <f>(1/($I$19*$I$35)*$C$35*$C$13*($C$14*$C$34*$C$23+$I$24-XAC-XBARFWD*$I$19)-$C$38*$C$23/$I$19-$I$39*($I$24-$R$36)/$I$19-$C$39)/(-$I$26*($C$47+$C$48+$I$30*$C$42)*PI()/180*$C$28)</f>
        <v>0.57243130101621775</v>
      </c>
      <c r="D65" s="11" t="s">
        <v>128</v>
      </c>
      <c r="E65" s="9"/>
      <c r="F65" s="9"/>
      <c r="G65" s="9"/>
      <c r="H65" s="9"/>
      <c r="I65" s="9"/>
      <c r="J65" s="9"/>
      <c r="K65" s="9"/>
      <c r="L65" s="10"/>
      <c r="M65" s="10"/>
    </row>
    <row r="66" spans="1:13" ht="13.8" x14ac:dyDescent="0.3">
      <c r="A66" s="16" t="s">
        <v>129</v>
      </c>
      <c r="B66" s="3" t="s">
        <v>130</v>
      </c>
      <c r="C66" s="17">
        <f>$I$18*(R37+$C$32)/($I$26*(1-$I$20)*$C$28)</f>
        <v>0.57397123865077793</v>
      </c>
      <c r="D66" s="11" t="s">
        <v>131</v>
      </c>
      <c r="E66" s="9"/>
      <c r="F66" s="9"/>
      <c r="G66" s="9"/>
      <c r="H66" s="9"/>
      <c r="I66" s="9"/>
      <c r="J66" s="9"/>
      <c r="K66" s="9"/>
      <c r="L66" s="10"/>
      <c r="M66" s="10"/>
    </row>
    <row r="67" spans="1:13" ht="13.8" x14ac:dyDescent="0.3">
      <c r="A67" s="16" t="s">
        <v>126</v>
      </c>
      <c r="B67" s="4"/>
      <c r="C67" s="17">
        <f>($I$41*R36+$C$40)/($I$26*$C$29*($I$43+$I$30*$C$42)*PI()/180*(1-$I$20/2))</f>
        <v>0.3887225329515927</v>
      </c>
      <c r="D67" s="11" t="s">
        <v>132</v>
      </c>
      <c r="E67" s="9"/>
      <c r="F67" s="9"/>
      <c r="G67" s="9"/>
      <c r="H67" s="9"/>
      <c r="I67" s="9"/>
      <c r="J67" s="9"/>
      <c r="K67" s="9"/>
      <c r="L67" s="10"/>
      <c r="M67" s="10"/>
    </row>
    <row r="68" spans="1:13" ht="14.4" thickBot="1" x14ac:dyDescent="0.35">
      <c r="A68" s="45" t="s">
        <v>148</v>
      </c>
      <c r="B68" s="22" t="s">
        <v>133</v>
      </c>
      <c r="C68" s="23">
        <f>MAX(C65,C67)</f>
        <v>0.57243130101621775</v>
      </c>
      <c r="D68" s="9"/>
      <c r="E68" s="9"/>
      <c r="F68" s="9"/>
      <c r="G68" s="9"/>
      <c r="H68" s="9"/>
      <c r="I68" s="9"/>
      <c r="J68" s="9"/>
      <c r="K68" s="9"/>
      <c r="L68" s="10"/>
      <c r="M68" s="10"/>
    </row>
    <row r="69" spans="1:13" ht="13.8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0"/>
      <c r="M69" s="10"/>
    </row>
    <row r="70" spans="1:13" ht="13.8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0"/>
      <c r="M70" s="10"/>
    </row>
    <row r="71" spans="1:1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3" x14ac:dyDescent="0.2">
      <c r="I72" s="1" t="s">
        <v>134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52</vt:i4>
      </vt:variant>
    </vt:vector>
  </HeadingPairs>
  <TitlesOfParts>
    <vt:vector size="55" baseType="lpstr">
      <vt:lpstr>NOTCH</vt:lpstr>
      <vt:lpstr>Notch Chart</vt:lpstr>
      <vt:lpstr>CG TRAVEL</vt:lpstr>
      <vt:lpstr>ALFHTMAX</vt:lpstr>
      <vt:lpstr>ALPHAMAX</vt:lpstr>
      <vt:lpstr>ALPHAROL</vt:lpstr>
      <vt:lpstr>AOAEFF</vt:lpstr>
      <vt:lpstr>AR</vt:lpstr>
      <vt:lpstr>ARHT</vt:lpstr>
      <vt:lpstr>BALANCE</vt:lpstr>
      <vt:lpstr>CDOTO</vt:lpstr>
      <vt:lpstr>CLALFIGE</vt:lpstr>
      <vt:lpstr>CLALPHA</vt:lpstr>
      <vt:lpstr>CLALPHAHT</vt:lpstr>
      <vt:lpstr>CLMAXLD</vt:lpstr>
      <vt:lpstr>CLROLL</vt:lpstr>
      <vt:lpstr>CMOLD</vt:lpstr>
      <vt:lpstr>CROOT</vt:lpstr>
      <vt:lpstr>DAODE</vt:lpstr>
      <vt:lpstr>DELAPHA</vt:lpstr>
      <vt:lpstr>DEOVERDA</vt:lpstr>
      <vt:lpstr>ETAT</vt:lpstr>
      <vt:lpstr>ETATOFF</vt:lpstr>
      <vt:lpstr>H</vt:lpstr>
      <vt:lpstr>KGETAIL</vt:lpstr>
      <vt:lpstr>KGEWING</vt:lpstr>
      <vt:lpstr>LAMBDA</vt:lpstr>
      <vt:lpstr>LAMBDAHT</vt:lpstr>
      <vt:lpstr>LH</vt:lpstr>
      <vt:lpstr>MAC</vt:lpstr>
      <vt:lpstr>NOTCH!Print_Area</vt:lpstr>
      <vt:lpstr>NOTCH!Print_Area_MI</vt:lpstr>
      <vt:lpstr>QLOF</vt:lpstr>
      <vt:lpstr>SEOSHORZ</vt:lpstr>
      <vt:lpstr>SM</vt:lpstr>
      <vt:lpstr>SPAN</vt:lpstr>
      <vt:lpstr>SREF</vt:lpstr>
      <vt:lpstr>TLAPSE</vt:lpstr>
      <vt:lpstr>TOGW</vt:lpstr>
      <vt:lpstr>TOW</vt:lpstr>
      <vt:lpstr>VBARMAX</vt:lpstr>
      <vt:lpstr>VR</vt:lpstr>
      <vt:lpstr>VSTALL</vt:lpstr>
      <vt:lpstr>WOS</vt:lpstr>
      <vt:lpstr>WOWREF</vt:lpstr>
      <vt:lpstr>XAC</vt:lpstr>
      <vt:lpstr>XACBAR</vt:lpstr>
      <vt:lpstr>XAFT</vt:lpstr>
      <vt:lpstr>XBARAFT</vt:lpstr>
      <vt:lpstr>XBARFWD</vt:lpstr>
      <vt:lpstr>XFWD</vt:lpstr>
      <vt:lpstr>XLEMAC</vt:lpstr>
      <vt:lpstr>XLG</vt:lpstr>
      <vt:lpstr>ZCG</vt:lpstr>
      <vt:lpstr>ZT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Hays</dc:creator>
  <cp:lastModifiedBy>Tony Hays</cp:lastModifiedBy>
  <dcterms:created xsi:type="dcterms:W3CDTF">2008-03-04T17:32:00Z</dcterms:created>
  <dcterms:modified xsi:type="dcterms:W3CDTF">2014-04-18T13:59:41Z</dcterms:modified>
</cp:coreProperties>
</file>