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9284" windowHeight="9636"/>
  </bookViews>
  <sheets>
    <sheet name="Specification (1)" sheetId="2" r:id="rId1"/>
  </sheets>
  <calcPr calcId="125725"/>
</workbook>
</file>

<file path=xl/calcChain.xml><?xml version="1.0" encoding="utf-8"?>
<calcChain xmlns="http://schemas.openxmlformats.org/spreadsheetml/2006/main">
  <c r="T105" i="2"/>
  <c r="S105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AA218"/>
  <c r="Z218"/>
  <c r="Y218"/>
  <c r="X218"/>
  <c r="W218"/>
  <c r="V218"/>
  <c r="R218"/>
  <c r="Q218"/>
  <c r="P218"/>
  <c r="O218"/>
  <c r="N218"/>
  <c r="M218"/>
  <c r="L218"/>
  <c r="K218"/>
  <c r="J218"/>
  <c r="I218"/>
  <c r="H218"/>
  <c r="G218"/>
  <c r="F218"/>
  <c r="E218"/>
  <c r="D218"/>
  <c r="C218"/>
  <c r="B218"/>
  <c r="A218"/>
  <c r="AA217"/>
  <c r="Z217"/>
  <c r="Y217"/>
  <c r="X217"/>
  <c r="W217"/>
  <c r="V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A217"/>
  <c r="AA216"/>
  <c r="Z216"/>
  <c r="Y216"/>
  <c r="X216"/>
  <c r="W216"/>
  <c r="V216"/>
  <c r="R216"/>
  <c r="Q216"/>
  <c r="P216"/>
  <c r="O216"/>
  <c r="N216"/>
  <c r="M216"/>
  <c r="L216"/>
  <c r="K216"/>
  <c r="J216"/>
  <c r="I216"/>
  <c r="H216"/>
  <c r="G216"/>
  <c r="F216"/>
  <c r="E216"/>
  <c r="D216"/>
  <c r="C216"/>
  <c r="B216"/>
  <c r="A216"/>
  <c r="AA215"/>
  <c r="Z215"/>
  <c r="Y215"/>
  <c r="X215"/>
  <c r="W215"/>
  <c r="V215"/>
  <c r="R215"/>
  <c r="Q215"/>
  <c r="P215"/>
  <c r="O215"/>
  <c r="N215"/>
  <c r="M215"/>
  <c r="L215"/>
  <c r="K215"/>
  <c r="J215"/>
  <c r="I215"/>
  <c r="H215"/>
  <c r="G215"/>
  <c r="F215"/>
  <c r="E215"/>
  <c r="D215"/>
  <c r="C215"/>
  <c r="B215"/>
  <c r="A215"/>
  <c r="AA214"/>
  <c r="Z214"/>
  <c r="Y214"/>
  <c r="X214"/>
  <c r="W214"/>
  <c r="V214"/>
  <c r="R214"/>
  <c r="Q214"/>
  <c r="P214"/>
  <c r="O214"/>
  <c r="N214"/>
  <c r="M214"/>
  <c r="L214"/>
  <c r="K214"/>
  <c r="J214"/>
  <c r="I214"/>
  <c r="H214"/>
  <c r="G214"/>
  <c r="F214"/>
  <c r="E214"/>
  <c r="D214"/>
  <c r="C214"/>
  <c r="B214"/>
  <c r="A214"/>
  <c r="AA213"/>
  <c r="Z213"/>
  <c r="Y213"/>
  <c r="X213"/>
  <c r="W213"/>
  <c r="V213"/>
  <c r="R213"/>
  <c r="Q213"/>
  <c r="P213"/>
  <c r="O213"/>
  <c r="N213"/>
  <c r="M213"/>
  <c r="L213"/>
  <c r="K213"/>
  <c r="J213"/>
  <c r="I213"/>
  <c r="H213"/>
  <c r="G213"/>
  <c r="F213"/>
  <c r="E213"/>
  <c r="D213"/>
  <c r="C213"/>
  <c r="B213"/>
  <c r="A213"/>
  <c r="AA212"/>
  <c r="Z212"/>
  <c r="Y212"/>
  <c r="X212"/>
  <c r="W212"/>
  <c r="V212"/>
  <c r="R212"/>
  <c r="Q212"/>
  <c r="P212"/>
  <c r="O212"/>
  <c r="N212"/>
  <c r="M212"/>
  <c r="L212"/>
  <c r="K212"/>
  <c r="J212"/>
  <c r="I212"/>
  <c r="H212"/>
  <c r="G212"/>
  <c r="F212"/>
  <c r="E212"/>
  <c r="D212"/>
  <c r="C212"/>
  <c r="B212"/>
  <c r="A212"/>
  <c r="AA211"/>
  <c r="Z211"/>
  <c r="Y211"/>
  <c r="X211"/>
  <c r="W211"/>
  <c r="V211"/>
  <c r="R211"/>
  <c r="Q211"/>
  <c r="P211"/>
  <c r="O211"/>
  <c r="N211"/>
  <c r="M211"/>
  <c r="L211"/>
  <c r="K211"/>
  <c r="J211"/>
  <c r="I211"/>
  <c r="H211"/>
  <c r="G211"/>
  <c r="F211"/>
  <c r="E211"/>
  <c r="D211"/>
  <c r="C211"/>
  <c r="B211"/>
  <c r="A211"/>
  <c r="AA210"/>
  <c r="Z210"/>
  <c r="Y210"/>
  <c r="X210"/>
  <c r="W210"/>
  <c r="V210"/>
  <c r="R210"/>
  <c r="Q210"/>
  <c r="P210"/>
  <c r="O210"/>
  <c r="N210"/>
  <c r="M210"/>
  <c r="L210"/>
  <c r="K210"/>
  <c r="J210"/>
  <c r="I210"/>
  <c r="H210"/>
  <c r="G210"/>
  <c r="F210"/>
  <c r="E210"/>
  <c r="D210"/>
  <c r="C210"/>
  <c r="B210"/>
  <c r="A210"/>
  <c r="AA209"/>
  <c r="Z209"/>
  <c r="Y209"/>
  <c r="X209"/>
  <c r="W209"/>
  <c r="V209"/>
  <c r="R209"/>
  <c r="Q209"/>
  <c r="P209"/>
  <c r="O209"/>
  <c r="N209"/>
  <c r="M209"/>
  <c r="L209"/>
  <c r="K209"/>
  <c r="J209"/>
  <c r="I209"/>
  <c r="H209"/>
  <c r="G209"/>
  <c r="F209"/>
  <c r="E209"/>
  <c r="D209"/>
  <c r="C209"/>
  <c r="B209"/>
  <c r="A209"/>
  <c r="AA208"/>
  <c r="Z208"/>
  <c r="Y208"/>
  <c r="X208"/>
  <c r="W208"/>
  <c r="V208"/>
  <c r="R208"/>
  <c r="Q208"/>
  <c r="P208"/>
  <c r="O208"/>
  <c r="N208"/>
  <c r="M208"/>
  <c r="L208"/>
  <c r="K208"/>
  <c r="J208"/>
  <c r="I208"/>
  <c r="H208"/>
  <c r="G208"/>
  <c r="F208"/>
  <c r="E208"/>
  <c r="D208"/>
  <c r="C208"/>
  <c r="B208"/>
  <c r="A208"/>
  <c r="AA207"/>
  <c r="Z207"/>
  <c r="Y207"/>
  <c r="X207"/>
  <c r="W207"/>
  <c r="V207"/>
  <c r="R207"/>
  <c r="Q207"/>
  <c r="P207"/>
  <c r="O207"/>
  <c r="N207"/>
  <c r="M207"/>
  <c r="L207"/>
  <c r="K207"/>
  <c r="J207"/>
  <c r="I207"/>
  <c r="H207"/>
  <c r="G207"/>
  <c r="F207"/>
  <c r="E207"/>
  <c r="D207"/>
  <c r="C207"/>
  <c r="B207"/>
  <c r="A207"/>
  <c r="AA206"/>
  <c r="Z206"/>
  <c r="Y206"/>
  <c r="X206"/>
  <c r="W206"/>
  <c r="V206"/>
  <c r="R206"/>
  <c r="Q206"/>
  <c r="P206"/>
  <c r="O206"/>
  <c r="N206"/>
  <c r="M206"/>
  <c r="L206"/>
  <c r="K206"/>
  <c r="J206"/>
  <c r="I206"/>
  <c r="H206"/>
  <c r="G206"/>
  <c r="F206"/>
  <c r="E206"/>
  <c r="D206"/>
  <c r="C206"/>
  <c r="B206"/>
  <c r="A206"/>
  <c r="AA205"/>
  <c r="Z205"/>
  <c r="Y205"/>
  <c r="X205"/>
  <c r="W205"/>
  <c r="V205"/>
  <c r="R205"/>
  <c r="Q205"/>
  <c r="P205"/>
  <c r="O205"/>
  <c r="N205"/>
  <c r="M205"/>
  <c r="L205"/>
  <c r="K205"/>
  <c r="J205"/>
  <c r="I205"/>
  <c r="H205"/>
  <c r="G205"/>
  <c r="F205"/>
  <c r="E205"/>
  <c r="D205"/>
  <c r="C205"/>
  <c r="B205"/>
  <c r="A205"/>
  <c r="AA204"/>
  <c r="Z204"/>
  <c r="Y204"/>
  <c r="X204"/>
  <c r="W204"/>
  <c r="V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A204"/>
  <c r="AA203"/>
  <c r="Z203"/>
  <c r="Y203"/>
  <c r="X203"/>
  <c r="W203"/>
  <c r="V203"/>
  <c r="R203"/>
  <c r="Q203"/>
  <c r="P203"/>
  <c r="O203"/>
  <c r="N203"/>
  <c r="M203"/>
  <c r="L203"/>
  <c r="K203"/>
  <c r="J203"/>
  <c r="I203"/>
  <c r="H203"/>
  <c r="G203"/>
  <c r="F203"/>
  <c r="E203"/>
  <c r="D203"/>
  <c r="C203"/>
  <c r="B203"/>
  <c r="A203"/>
  <c r="AA202"/>
  <c r="Z202"/>
  <c r="Y202"/>
  <c r="X202"/>
  <c r="W202"/>
  <c r="V202"/>
  <c r="R202"/>
  <c r="Q202"/>
  <c r="P202"/>
  <c r="O202"/>
  <c r="N202"/>
  <c r="M202"/>
  <c r="L202"/>
  <c r="K202"/>
  <c r="J202"/>
  <c r="I202"/>
  <c r="H202"/>
  <c r="G202"/>
  <c r="F202"/>
  <c r="E202"/>
  <c r="D202"/>
  <c r="C202"/>
  <c r="B202"/>
  <c r="A202"/>
  <c r="AA201"/>
  <c r="Z201"/>
  <c r="Y201"/>
  <c r="X201"/>
  <c r="W201"/>
  <c r="V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A201"/>
  <c r="AA200"/>
  <c r="Z200"/>
  <c r="Y200"/>
  <c r="X200"/>
  <c r="W200"/>
  <c r="V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A200"/>
  <c r="AA199"/>
  <c r="Z199"/>
  <c r="Y199"/>
  <c r="X199"/>
  <c r="W199"/>
  <c r="V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A199"/>
  <c r="AA198"/>
  <c r="Z198"/>
  <c r="Y198"/>
  <c r="X198"/>
  <c r="W198"/>
  <c r="V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A198"/>
  <c r="AA197"/>
  <c r="Z197"/>
  <c r="Y197"/>
  <c r="X197"/>
  <c r="W197"/>
  <c r="V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A197"/>
  <c r="AA196"/>
  <c r="Z196"/>
  <c r="Y196"/>
  <c r="X196"/>
  <c r="W196"/>
  <c r="V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A196"/>
  <c r="AA195"/>
  <c r="Z195"/>
  <c r="Y195"/>
  <c r="X195"/>
  <c r="W195"/>
  <c r="V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A195"/>
  <c r="AA194"/>
  <c r="Z194"/>
  <c r="Y194"/>
  <c r="X194"/>
  <c r="W194"/>
  <c r="V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A194"/>
  <c r="AA193"/>
  <c r="Z193"/>
  <c r="Y193"/>
  <c r="X193"/>
  <c r="W193"/>
  <c r="V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A193"/>
  <c r="AA192"/>
  <c r="Z192"/>
  <c r="Y192"/>
  <c r="X192"/>
  <c r="W192"/>
  <c r="V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A192"/>
  <c r="AA191"/>
  <c r="Z191"/>
  <c r="Y191"/>
  <c r="X191"/>
  <c r="W191"/>
  <c r="V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A191"/>
  <c r="AA190"/>
  <c r="Z190"/>
  <c r="Y190"/>
  <c r="X190"/>
  <c r="W190"/>
  <c r="V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A190"/>
  <c r="AA189"/>
  <c r="Z189"/>
  <c r="Y189"/>
  <c r="X189"/>
  <c r="W189"/>
  <c r="V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A189"/>
  <c r="AA188"/>
  <c r="Z188"/>
  <c r="Y188"/>
  <c r="X188"/>
  <c r="W188"/>
  <c r="V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A188"/>
  <c r="AA187"/>
  <c r="Z187"/>
  <c r="Y187"/>
  <c r="X187"/>
  <c r="W187"/>
  <c r="V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A187"/>
  <c r="AA186"/>
  <c r="Z186"/>
  <c r="Y186"/>
  <c r="X186"/>
  <c r="W186"/>
  <c r="V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A186"/>
  <c r="AA185"/>
  <c r="Z185"/>
  <c r="Y185"/>
  <c r="X185"/>
  <c r="W185"/>
  <c r="V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A185"/>
  <c r="AA184"/>
  <c r="Z184"/>
  <c r="Y184"/>
  <c r="X184"/>
  <c r="W184"/>
  <c r="V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A184"/>
  <c r="AA183"/>
  <c r="Z183"/>
  <c r="Y183"/>
  <c r="X183"/>
  <c r="W183"/>
  <c r="V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A183"/>
  <c r="AA182"/>
  <c r="Z182"/>
  <c r="Y182"/>
  <c r="X182"/>
  <c r="W182"/>
  <c r="V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A182"/>
  <c r="AA181"/>
  <c r="Z181"/>
  <c r="Y181"/>
  <c r="X181"/>
  <c r="W181"/>
  <c r="V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A181"/>
  <c r="AA180"/>
  <c r="Z180"/>
  <c r="Y180"/>
  <c r="X180"/>
  <c r="W180"/>
  <c r="V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A180"/>
  <c r="AA179"/>
  <c r="Z179"/>
  <c r="Y179"/>
  <c r="X179"/>
  <c r="W179"/>
  <c r="V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A179"/>
  <c r="AA178"/>
  <c r="Z178"/>
  <c r="Y178"/>
  <c r="X178"/>
  <c r="W178"/>
  <c r="V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A178"/>
  <c r="AA177"/>
  <c r="Z177"/>
  <c r="Y177"/>
  <c r="X177"/>
  <c r="W177"/>
  <c r="V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A177"/>
  <c r="AA176"/>
  <c r="Z176"/>
  <c r="Y176"/>
  <c r="X176"/>
  <c r="W176"/>
  <c r="V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A176"/>
  <c r="AA175"/>
  <c r="Z175"/>
  <c r="Y175"/>
  <c r="X175"/>
  <c r="W175"/>
  <c r="V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A175"/>
  <c r="AA174"/>
  <c r="Z174"/>
  <c r="Y174"/>
  <c r="X174"/>
  <c r="W174"/>
  <c r="V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174"/>
  <c r="AA173"/>
  <c r="Z173"/>
  <c r="Y173"/>
  <c r="X173"/>
  <c r="W173"/>
  <c r="V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173"/>
  <c r="AA172"/>
  <c r="Z172"/>
  <c r="Y172"/>
  <c r="X172"/>
  <c r="W172"/>
  <c r="V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172"/>
  <c r="AA171"/>
  <c r="Z171"/>
  <c r="Y171"/>
  <c r="X171"/>
  <c r="W171"/>
  <c r="V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A171"/>
  <c r="AA170"/>
  <c r="Z170"/>
  <c r="Y170"/>
  <c r="X170"/>
  <c r="W170"/>
  <c r="V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A170"/>
  <c r="AA169"/>
  <c r="Z169"/>
  <c r="Y169"/>
  <c r="X169"/>
  <c r="W169"/>
  <c r="V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A169"/>
  <c r="AA168"/>
  <c r="Z168"/>
  <c r="Y168"/>
  <c r="X168"/>
  <c r="W168"/>
  <c r="V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A168"/>
  <c r="AA167"/>
  <c r="Z167"/>
  <c r="Y167"/>
  <c r="X167"/>
  <c r="W167"/>
  <c r="V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A167"/>
  <c r="AA166"/>
  <c r="Z166"/>
  <c r="Y166"/>
  <c r="X166"/>
  <c r="W166"/>
  <c r="V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A166"/>
  <c r="AA165"/>
  <c r="Z165"/>
  <c r="Y165"/>
  <c r="X165"/>
  <c r="W165"/>
  <c r="V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A165"/>
  <c r="AA164"/>
  <c r="Z164"/>
  <c r="Y164"/>
  <c r="X164"/>
  <c r="W164"/>
  <c r="V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A164"/>
  <c r="AA163"/>
  <c r="Z163"/>
  <c r="Y163"/>
  <c r="X163"/>
  <c r="W163"/>
  <c r="V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A163"/>
  <c r="AA162"/>
  <c r="Z162"/>
  <c r="Y162"/>
  <c r="X162"/>
  <c r="W162"/>
  <c r="V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A162"/>
  <c r="AA161"/>
  <c r="Z161"/>
  <c r="Y161"/>
  <c r="X161"/>
  <c r="W161"/>
  <c r="V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A161"/>
  <c r="AA160"/>
  <c r="Z160"/>
  <c r="Y160"/>
  <c r="X160"/>
  <c r="W160"/>
  <c r="V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A160"/>
  <c r="AA159"/>
  <c r="Z159"/>
  <c r="Y159"/>
  <c r="X159"/>
  <c r="W159"/>
  <c r="V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A159"/>
  <c r="AA158"/>
  <c r="Z158"/>
  <c r="Y158"/>
  <c r="X158"/>
  <c r="W158"/>
  <c r="V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158"/>
  <c r="AA157"/>
  <c r="Z157"/>
  <c r="Y157"/>
  <c r="X157"/>
  <c r="W157"/>
  <c r="V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A157"/>
  <c r="AA156"/>
  <c r="Z156"/>
  <c r="Y156"/>
  <c r="X156"/>
  <c r="W156"/>
  <c r="V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A156"/>
  <c r="AA155"/>
  <c r="Z155"/>
  <c r="Y155"/>
  <c r="X155"/>
  <c r="W155"/>
  <c r="V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A155"/>
  <c r="AA154"/>
  <c r="Z154"/>
  <c r="Y154"/>
  <c r="X154"/>
  <c r="W154"/>
  <c r="V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A154"/>
  <c r="AA153"/>
  <c r="Z153"/>
  <c r="Y153"/>
  <c r="X153"/>
  <c r="W153"/>
  <c r="V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153"/>
  <c r="AA152"/>
  <c r="Z152"/>
  <c r="Y152"/>
  <c r="X152"/>
  <c r="W152"/>
  <c r="V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A152"/>
  <c r="AA151"/>
  <c r="Z151"/>
  <c r="Y151"/>
  <c r="X151"/>
  <c r="W151"/>
  <c r="V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A151"/>
  <c r="AA150"/>
  <c r="Z150"/>
  <c r="Y150"/>
  <c r="X150"/>
  <c r="W150"/>
  <c r="V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A150"/>
  <c r="AA149"/>
  <c r="Z149"/>
  <c r="Y149"/>
  <c r="X149"/>
  <c r="W149"/>
  <c r="V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A149"/>
  <c r="AA148"/>
  <c r="Z148"/>
  <c r="Y148"/>
  <c r="X148"/>
  <c r="W148"/>
  <c r="V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A148"/>
  <c r="AA147"/>
  <c r="Z147"/>
  <c r="Y147"/>
  <c r="X147"/>
  <c r="W147"/>
  <c r="V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A147"/>
  <c r="AA146"/>
  <c r="Z146"/>
  <c r="Y146"/>
  <c r="X146"/>
  <c r="W146"/>
  <c r="V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A146"/>
  <c r="AA145"/>
  <c r="Z145"/>
  <c r="Y145"/>
  <c r="X145"/>
  <c r="W145"/>
  <c r="V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A145"/>
  <c r="AA144"/>
  <c r="Z144"/>
  <c r="Y144"/>
  <c r="X144"/>
  <c r="W144"/>
  <c r="V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A144"/>
  <c r="AA143"/>
  <c r="Z143"/>
  <c r="Y143"/>
  <c r="X143"/>
  <c r="W143"/>
  <c r="V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A143"/>
  <c r="AA142"/>
  <c r="Z142"/>
  <c r="Y142"/>
  <c r="X142"/>
  <c r="W142"/>
  <c r="V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A142"/>
  <c r="AA141"/>
  <c r="Z141"/>
  <c r="Y141"/>
  <c r="X141"/>
  <c r="W141"/>
  <c r="V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A141"/>
  <c r="AA140"/>
  <c r="Z140"/>
  <c r="Y140"/>
  <c r="X140"/>
  <c r="W140"/>
  <c r="V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A140"/>
  <c r="AA139"/>
  <c r="Z139"/>
  <c r="Y139"/>
  <c r="X139"/>
  <c r="W139"/>
  <c r="V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A139"/>
  <c r="AA138"/>
  <c r="Z138"/>
  <c r="Y138"/>
  <c r="X138"/>
  <c r="W138"/>
  <c r="V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A138"/>
  <c r="AA137"/>
  <c r="Z137"/>
  <c r="Y137"/>
  <c r="X137"/>
  <c r="W137"/>
  <c r="V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137"/>
  <c r="AA136"/>
  <c r="Z136"/>
  <c r="Y136"/>
  <c r="X136"/>
  <c r="W136"/>
  <c r="V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A136"/>
  <c r="AA135"/>
  <c r="Z135"/>
  <c r="Y135"/>
  <c r="X135"/>
  <c r="W135"/>
  <c r="V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A135"/>
  <c r="AA134"/>
  <c r="Z134"/>
  <c r="Y134"/>
  <c r="X134"/>
  <c r="W134"/>
  <c r="V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A134"/>
  <c r="AA133"/>
  <c r="Z133"/>
  <c r="Y133"/>
  <c r="X133"/>
  <c r="W133"/>
  <c r="V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A133"/>
  <c r="AA132"/>
  <c r="Z132"/>
  <c r="Y132"/>
  <c r="X132"/>
  <c r="W132"/>
  <c r="V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A132"/>
  <c r="AA131"/>
  <c r="Z131"/>
  <c r="Y131"/>
  <c r="X131"/>
  <c r="W131"/>
  <c r="V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A131"/>
  <c r="AA130"/>
  <c r="Z130"/>
  <c r="Y130"/>
  <c r="X130"/>
  <c r="W130"/>
  <c r="V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A130"/>
  <c r="AA129"/>
  <c r="Z129"/>
  <c r="Y129"/>
  <c r="X129"/>
  <c r="W129"/>
  <c r="V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129"/>
  <c r="AA128"/>
  <c r="Z128"/>
  <c r="Y128"/>
  <c r="X128"/>
  <c r="W128"/>
  <c r="V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A128"/>
  <c r="AA127"/>
  <c r="Z127"/>
  <c r="Y127"/>
  <c r="X127"/>
  <c r="W127"/>
  <c r="V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127"/>
  <c r="AA126"/>
  <c r="Z126"/>
  <c r="Y126"/>
  <c r="X126"/>
  <c r="W126"/>
  <c r="V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A126"/>
  <c r="AA125"/>
  <c r="Z125"/>
  <c r="Y125"/>
  <c r="X125"/>
  <c r="W125"/>
  <c r="V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A125"/>
  <c r="AA124"/>
  <c r="Z124"/>
  <c r="Y124"/>
  <c r="X124"/>
  <c r="W124"/>
  <c r="V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A124"/>
  <c r="AA123"/>
  <c r="Z123"/>
  <c r="Y123"/>
  <c r="X123"/>
  <c r="W123"/>
  <c r="V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A123"/>
  <c r="AA122"/>
  <c r="Z122"/>
  <c r="Y122"/>
  <c r="X122"/>
  <c r="W122"/>
  <c r="V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A122"/>
  <c r="AA121"/>
  <c r="Z121"/>
  <c r="Y121"/>
  <c r="X121"/>
  <c r="W121"/>
  <c r="V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A121"/>
  <c r="AA120"/>
  <c r="Z120"/>
  <c r="Y120"/>
  <c r="X120"/>
  <c r="W120"/>
  <c r="V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A120"/>
  <c r="AA119"/>
  <c r="Z119"/>
  <c r="Y119"/>
  <c r="X119"/>
  <c r="W119"/>
  <c r="V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119"/>
  <c r="AA118"/>
  <c r="Z118"/>
  <c r="Y118"/>
  <c r="X118"/>
  <c r="W118"/>
  <c r="V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118"/>
  <c r="AA117"/>
  <c r="Z117"/>
  <c r="Y117"/>
  <c r="X117"/>
  <c r="W117"/>
  <c r="V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A117"/>
  <c r="AA116"/>
  <c r="Z116"/>
  <c r="Y116"/>
  <c r="X116"/>
  <c r="W116"/>
  <c r="V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A116"/>
  <c r="AA115"/>
  <c r="Z115"/>
  <c r="Y115"/>
  <c r="X115"/>
  <c r="W115"/>
  <c r="V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A115"/>
  <c r="AA114"/>
  <c r="Z114"/>
  <c r="Y114"/>
  <c r="X114"/>
  <c r="W114"/>
  <c r="V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A114"/>
  <c r="AA113"/>
  <c r="Z113"/>
  <c r="Y113"/>
  <c r="X113"/>
  <c r="W113"/>
  <c r="V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13"/>
  <c r="AA112"/>
  <c r="Z112"/>
  <c r="Y112"/>
  <c r="X112"/>
  <c r="W112"/>
  <c r="V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A112"/>
  <c r="AA111"/>
  <c r="Z111"/>
  <c r="Y111"/>
  <c r="X111"/>
  <c r="W111"/>
  <c r="V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A111"/>
  <c r="AA110"/>
  <c r="Z110"/>
  <c r="Y110"/>
  <c r="X110"/>
  <c r="W110"/>
  <c r="V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A110"/>
  <c r="AA109"/>
  <c r="Z109"/>
  <c r="Y109"/>
  <c r="X109"/>
  <c r="W109"/>
  <c r="V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A109"/>
  <c r="AA108"/>
  <c r="Z108"/>
  <c r="Y108"/>
  <c r="X108"/>
  <c r="W108"/>
  <c r="V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A108"/>
  <c r="AA107"/>
  <c r="Z107"/>
  <c r="Y107"/>
  <c r="X107"/>
  <c r="W107"/>
  <c r="V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A107"/>
  <c r="AA106"/>
  <c r="Z106"/>
  <c r="Y106"/>
  <c r="X106"/>
  <c r="W106"/>
  <c r="V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A106"/>
  <c r="AA105"/>
  <c r="Z105"/>
  <c r="Y105"/>
  <c r="X105"/>
  <c r="W105"/>
  <c r="V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A105"/>
  <c r="AA104"/>
  <c r="Z104"/>
  <c r="Y104"/>
  <c r="X104"/>
  <c r="W104"/>
  <c r="V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A104"/>
  <c r="AA103"/>
  <c r="Z103"/>
  <c r="Y103"/>
  <c r="X103"/>
  <c r="W103"/>
  <c r="V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103"/>
  <c r="AA102"/>
  <c r="Z102"/>
  <c r="Y102"/>
  <c r="X102"/>
  <c r="W102"/>
  <c r="V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102"/>
  <c r="AA101"/>
  <c r="Z101"/>
  <c r="Y101"/>
  <c r="X101"/>
  <c r="W101"/>
  <c r="V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101"/>
  <c r="AA100"/>
  <c r="Z100"/>
  <c r="Y100"/>
  <c r="X100"/>
  <c r="W100"/>
  <c r="V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AA99"/>
  <c r="Z99"/>
  <c r="Y99"/>
  <c r="X99"/>
  <c r="W99"/>
  <c r="V99"/>
  <c r="R99"/>
  <c r="Q99"/>
  <c r="P99"/>
  <c r="O99"/>
  <c r="N99"/>
  <c r="M99"/>
  <c r="L99"/>
  <c r="K99"/>
  <c r="J99"/>
  <c r="I99"/>
  <c r="H99"/>
  <c r="G99"/>
  <c r="F99"/>
  <c r="E99"/>
  <c r="D99"/>
  <c r="C99"/>
  <c r="B99"/>
  <c r="A99"/>
  <c r="AA98"/>
  <c r="Z98"/>
  <c r="Y98"/>
  <c r="X98"/>
  <c r="W98"/>
  <c r="V98"/>
  <c r="R98"/>
  <c r="Q98"/>
  <c r="P98"/>
  <c r="O98"/>
  <c r="N98"/>
  <c r="M98"/>
  <c r="L98"/>
  <c r="K98"/>
  <c r="J98"/>
  <c r="I98"/>
  <c r="H98"/>
  <c r="G98"/>
  <c r="F98"/>
  <c r="E98"/>
  <c r="D98"/>
  <c r="C98"/>
  <c r="B98"/>
  <c r="A98"/>
  <c r="AA97"/>
  <c r="Z97"/>
  <c r="Y97"/>
  <c r="X97"/>
  <c r="W97"/>
  <c r="V97"/>
  <c r="R97"/>
  <c r="Q97"/>
  <c r="P97"/>
  <c r="O97"/>
  <c r="N97"/>
  <c r="M97"/>
  <c r="L97"/>
  <c r="K97"/>
  <c r="J97"/>
  <c r="I97"/>
  <c r="H97"/>
  <c r="G97"/>
  <c r="F97"/>
  <c r="E97"/>
  <c r="D97"/>
  <c r="C97"/>
  <c r="B97"/>
  <c r="A97"/>
  <c r="AA96"/>
  <c r="Z96"/>
  <c r="Y96"/>
  <c r="X96"/>
  <c r="W96"/>
  <c r="V96"/>
  <c r="R96"/>
  <c r="Q96"/>
  <c r="P96"/>
  <c r="O96"/>
  <c r="N96"/>
  <c r="M96"/>
  <c r="L96"/>
  <c r="K96"/>
  <c r="J96"/>
  <c r="I96"/>
  <c r="H96"/>
  <c r="G96"/>
  <c r="F96"/>
  <c r="E96"/>
  <c r="D96"/>
  <c r="C96"/>
  <c r="B96"/>
  <c r="A96"/>
  <c r="AA95"/>
  <c r="Z95"/>
  <c r="Y95"/>
  <c r="X95"/>
  <c r="W95"/>
  <c r="V95"/>
  <c r="R95"/>
  <c r="Q95"/>
  <c r="P95"/>
  <c r="O95"/>
  <c r="N95"/>
  <c r="M95"/>
  <c r="L95"/>
  <c r="K95"/>
  <c r="J95"/>
  <c r="I95"/>
  <c r="H95"/>
  <c r="G95"/>
  <c r="F95"/>
  <c r="E95"/>
  <c r="D95"/>
  <c r="C95"/>
  <c r="B95"/>
  <c r="A95"/>
  <c r="AA94"/>
  <c r="Z94"/>
  <c r="Y94"/>
  <c r="X94"/>
  <c r="W94"/>
  <c r="V94"/>
  <c r="R94"/>
  <c r="Q94"/>
  <c r="P94"/>
  <c r="O94"/>
  <c r="N94"/>
  <c r="M94"/>
  <c r="L94"/>
  <c r="K94"/>
  <c r="J94"/>
  <c r="I94"/>
  <c r="H94"/>
  <c r="G94"/>
  <c r="F94"/>
  <c r="E94"/>
  <c r="D94"/>
  <c r="C94"/>
  <c r="B94"/>
  <c r="A94"/>
  <c r="AA93"/>
  <c r="Z93"/>
  <c r="Y93"/>
  <c r="X93"/>
  <c r="W93"/>
  <c r="V93"/>
  <c r="R93"/>
  <c r="Q93"/>
  <c r="P93"/>
  <c r="O93"/>
  <c r="N93"/>
  <c r="M93"/>
  <c r="L93"/>
  <c r="K93"/>
  <c r="J93"/>
  <c r="I93"/>
  <c r="H93"/>
  <c r="G93"/>
  <c r="F93"/>
  <c r="E93"/>
  <c r="D93"/>
  <c r="C93"/>
  <c r="B93"/>
  <c r="A93"/>
  <c r="AA92"/>
  <c r="Z92"/>
  <c r="Y92"/>
  <c r="X92"/>
  <c r="W92"/>
  <c r="V92"/>
  <c r="R92"/>
  <c r="Q92"/>
  <c r="P92"/>
  <c r="O92"/>
  <c r="N92"/>
  <c r="M92"/>
  <c r="L92"/>
  <c r="K92"/>
  <c r="J92"/>
  <c r="I92"/>
  <c r="H92"/>
  <c r="G92"/>
  <c r="F92"/>
  <c r="E92"/>
  <c r="D92"/>
  <c r="C92"/>
  <c r="B92"/>
  <c r="A92"/>
  <c r="AA91"/>
  <c r="Z91"/>
  <c r="Y91"/>
  <c r="X91"/>
  <c r="W91"/>
  <c r="V91"/>
  <c r="R91"/>
  <c r="Q91"/>
  <c r="P91"/>
  <c r="O91"/>
  <c r="N91"/>
  <c r="M91"/>
  <c r="L91"/>
  <c r="K91"/>
  <c r="J91"/>
  <c r="I91"/>
  <c r="H91"/>
  <c r="G91"/>
  <c r="F91"/>
  <c r="E91"/>
  <c r="D91"/>
  <c r="C91"/>
  <c r="B91"/>
  <c r="A91"/>
  <c r="AA90"/>
  <c r="Z90"/>
  <c r="Y90"/>
  <c r="X90"/>
  <c r="W90"/>
  <c r="V90"/>
  <c r="R90"/>
  <c r="Q90"/>
  <c r="P90"/>
  <c r="O90"/>
  <c r="N90"/>
  <c r="M90"/>
  <c r="L90"/>
  <c r="K90"/>
  <c r="J90"/>
  <c r="I90"/>
  <c r="H90"/>
  <c r="G90"/>
  <c r="F90"/>
  <c r="E90"/>
  <c r="D90"/>
  <c r="C90"/>
  <c r="B90"/>
  <c r="A90"/>
  <c r="AA89"/>
  <c r="Z89"/>
  <c r="Y89"/>
  <c r="X89"/>
  <c r="W89"/>
  <c r="V89"/>
  <c r="R89"/>
  <c r="Q89"/>
  <c r="P89"/>
  <c r="O89"/>
  <c r="N89"/>
  <c r="M89"/>
  <c r="L89"/>
  <c r="K89"/>
  <c r="J89"/>
  <c r="I89"/>
  <c r="H89"/>
  <c r="G89"/>
  <c r="F89"/>
  <c r="E89"/>
  <c r="D89"/>
  <c r="C89"/>
  <c r="B89"/>
  <c r="A89"/>
  <c r="AA88"/>
  <c r="Z88"/>
  <c r="Y88"/>
  <c r="X88"/>
  <c r="W88"/>
  <c r="V88"/>
  <c r="R88"/>
  <c r="Q88"/>
  <c r="P88"/>
  <c r="O88"/>
  <c r="N88"/>
  <c r="M88"/>
  <c r="L88"/>
  <c r="K88"/>
  <c r="J88"/>
  <c r="I88"/>
  <c r="H88"/>
  <c r="G88"/>
  <c r="F88"/>
  <c r="E88"/>
  <c r="D88"/>
  <c r="C88"/>
  <c r="B88"/>
  <c r="A88"/>
  <c r="AA87"/>
  <c r="Z87"/>
  <c r="Y87"/>
  <c r="X87"/>
  <c r="W87"/>
  <c r="V87"/>
  <c r="R87"/>
  <c r="Q87"/>
  <c r="P87"/>
  <c r="O87"/>
  <c r="N87"/>
  <c r="M87"/>
  <c r="L87"/>
  <c r="K87"/>
  <c r="J87"/>
  <c r="I87"/>
  <c r="H87"/>
  <c r="G87"/>
  <c r="F87"/>
  <c r="E87"/>
  <c r="D87"/>
  <c r="C87"/>
  <c r="B87"/>
  <c r="A87"/>
  <c r="AA86"/>
  <c r="Z86"/>
  <c r="Y86"/>
  <c r="X86"/>
  <c r="W86"/>
  <c r="V86"/>
  <c r="R86"/>
  <c r="Q86"/>
  <c r="P86"/>
  <c r="O86"/>
  <c r="N86"/>
  <c r="M86"/>
  <c r="L86"/>
  <c r="K86"/>
  <c r="J86"/>
  <c r="I86"/>
  <c r="H86"/>
  <c r="G86"/>
  <c r="F86"/>
  <c r="E86"/>
  <c r="D86"/>
  <c r="C86"/>
  <c r="B86"/>
  <c r="A86"/>
  <c r="AA85"/>
  <c r="Z85"/>
  <c r="Y85"/>
  <c r="X85"/>
  <c r="W85"/>
  <c r="V85"/>
  <c r="R85"/>
  <c r="Q85"/>
  <c r="P85"/>
  <c r="O85"/>
  <c r="N85"/>
  <c r="M85"/>
  <c r="L85"/>
  <c r="K85"/>
  <c r="J85"/>
  <c r="I85"/>
  <c r="H85"/>
  <c r="G85"/>
  <c r="F85"/>
  <c r="E85"/>
  <c r="D85"/>
  <c r="C85"/>
  <c r="B85"/>
  <c r="A85"/>
  <c r="AA84"/>
  <c r="Z84"/>
  <c r="Y84"/>
  <c r="X84"/>
  <c r="W84"/>
  <c r="V84"/>
  <c r="R84"/>
  <c r="Q84"/>
  <c r="P84"/>
  <c r="O84"/>
  <c r="N84"/>
  <c r="M84"/>
  <c r="L84"/>
  <c r="K84"/>
  <c r="J84"/>
  <c r="I84"/>
  <c r="H84"/>
  <c r="G84"/>
  <c r="F84"/>
  <c r="E84"/>
  <c r="D84"/>
  <c r="C84"/>
  <c r="B84"/>
  <c r="A84"/>
  <c r="AA83"/>
  <c r="Z83"/>
  <c r="Y83"/>
  <c r="X83"/>
  <c r="W83"/>
  <c r="V83"/>
  <c r="R83"/>
  <c r="Q83"/>
  <c r="P83"/>
  <c r="O83"/>
  <c r="N83"/>
  <c r="M83"/>
  <c r="L83"/>
  <c r="K83"/>
  <c r="J83"/>
  <c r="I83"/>
  <c r="H83"/>
  <c r="G83"/>
  <c r="F83"/>
  <c r="E83"/>
  <c r="D83"/>
  <c r="C83"/>
  <c r="B83"/>
  <c r="A83"/>
  <c r="AA82"/>
  <c r="Z82"/>
  <c r="Y82"/>
  <c r="X82"/>
  <c r="W82"/>
  <c r="V82"/>
  <c r="R82"/>
  <c r="Q82"/>
  <c r="P82"/>
  <c r="O82"/>
  <c r="N82"/>
  <c r="M82"/>
  <c r="L82"/>
  <c r="K82"/>
  <c r="J82"/>
  <c r="I82"/>
  <c r="H82"/>
  <c r="G82"/>
  <c r="F82"/>
  <c r="E82"/>
  <c r="D82"/>
  <c r="C82"/>
  <c r="B82"/>
  <c r="A82"/>
  <c r="AA81"/>
  <c r="Z81"/>
  <c r="Y81"/>
  <c r="X81"/>
  <c r="W81"/>
  <c r="V81"/>
  <c r="R81"/>
  <c r="Q81"/>
  <c r="P81"/>
  <c r="O81"/>
  <c r="N81"/>
  <c r="M81"/>
  <c r="L81"/>
  <c r="K81"/>
  <c r="J81"/>
  <c r="I81"/>
  <c r="H81"/>
  <c r="G81"/>
  <c r="F81"/>
  <c r="E81"/>
  <c r="D81"/>
  <c r="C81"/>
  <c r="B81"/>
  <c r="A81"/>
  <c r="AA80"/>
  <c r="Z80"/>
  <c r="Y80"/>
  <c r="X80"/>
  <c r="W80"/>
  <c r="V80"/>
  <c r="R80"/>
  <c r="Q80"/>
  <c r="P80"/>
  <c r="O80"/>
  <c r="N80"/>
  <c r="M80"/>
  <c r="L80"/>
  <c r="K80"/>
  <c r="J80"/>
  <c r="I80"/>
  <c r="H80"/>
  <c r="G80"/>
  <c r="F80"/>
  <c r="E80"/>
  <c r="D80"/>
  <c r="C80"/>
  <c r="B80"/>
  <c r="A80"/>
  <c r="AA79"/>
  <c r="Z79"/>
  <c r="Y79"/>
  <c r="X79"/>
  <c r="W79"/>
  <c r="V79"/>
  <c r="R79"/>
  <c r="Q79"/>
  <c r="P79"/>
  <c r="O79"/>
  <c r="N79"/>
  <c r="M79"/>
  <c r="L79"/>
  <c r="K79"/>
  <c r="J79"/>
  <c r="I79"/>
  <c r="H79"/>
  <c r="G79"/>
  <c r="F79"/>
  <c r="E79"/>
  <c r="D79"/>
  <c r="C79"/>
  <c r="B79"/>
  <c r="A79"/>
  <c r="AA78"/>
  <c r="Z78"/>
  <c r="Y78"/>
  <c r="X78"/>
  <c r="W78"/>
  <c r="V78"/>
  <c r="R78"/>
  <c r="Q78"/>
  <c r="P78"/>
  <c r="O78"/>
  <c r="N78"/>
  <c r="M78"/>
  <c r="L78"/>
  <c r="K78"/>
  <c r="J78"/>
  <c r="I78"/>
  <c r="H78"/>
  <c r="G78"/>
  <c r="F78"/>
  <c r="E78"/>
  <c r="D78"/>
  <c r="C78"/>
  <c r="B78"/>
  <c r="A78"/>
  <c r="AA77"/>
  <c r="Z77"/>
  <c r="Y77"/>
  <c r="X77"/>
  <c r="W77"/>
  <c r="V77"/>
  <c r="R77"/>
  <c r="Q77"/>
  <c r="P77"/>
  <c r="O77"/>
  <c r="N77"/>
  <c r="M77"/>
  <c r="L77"/>
  <c r="K77"/>
  <c r="J77"/>
  <c r="I77"/>
  <c r="H77"/>
  <c r="G77"/>
  <c r="F77"/>
  <c r="E77"/>
  <c r="D77"/>
  <c r="C77"/>
  <c r="B77"/>
  <c r="A77"/>
  <c r="AA76"/>
  <c r="Z76"/>
  <c r="Y76"/>
  <c r="X76"/>
  <c r="W76"/>
  <c r="V76"/>
  <c r="R76"/>
  <c r="Q76"/>
  <c r="P76"/>
  <c r="O76"/>
  <c r="N76"/>
  <c r="M76"/>
  <c r="L76"/>
  <c r="K76"/>
  <c r="J76"/>
  <c r="I76"/>
  <c r="H76"/>
  <c r="G76"/>
  <c r="F76"/>
  <c r="E76"/>
  <c r="D76"/>
  <c r="C76"/>
  <c r="B76"/>
  <c r="A76"/>
  <c r="AA75"/>
  <c r="Z75"/>
  <c r="Y75"/>
  <c r="X75"/>
  <c r="W75"/>
  <c r="V75"/>
  <c r="R75"/>
  <c r="Q75"/>
  <c r="P75"/>
  <c r="O75"/>
  <c r="N75"/>
  <c r="M75"/>
  <c r="L75"/>
  <c r="K75"/>
  <c r="J75"/>
  <c r="I75"/>
  <c r="H75"/>
  <c r="G75"/>
  <c r="F75"/>
  <c r="E75"/>
  <c r="D75"/>
  <c r="C75"/>
  <c r="B75"/>
  <c r="A75"/>
  <c r="AA74"/>
  <c r="Z74"/>
  <c r="Y74"/>
  <c r="X74"/>
  <c r="W74"/>
  <c r="V74"/>
  <c r="R74"/>
  <c r="Q74"/>
  <c r="P74"/>
  <c r="O74"/>
  <c r="N74"/>
  <c r="M74"/>
  <c r="L74"/>
  <c r="K74"/>
  <c r="J74"/>
  <c r="I74"/>
  <c r="H74"/>
  <c r="G74"/>
  <c r="F74"/>
  <c r="E74"/>
  <c r="D74"/>
  <c r="C74"/>
  <c r="B74"/>
  <c r="A74"/>
  <c r="AA73"/>
  <c r="Z73"/>
  <c r="Y73"/>
  <c r="X73"/>
  <c r="W73"/>
  <c r="V73"/>
  <c r="R73"/>
  <c r="Q73"/>
  <c r="P73"/>
  <c r="O73"/>
  <c r="N73"/>
  <c r="M73"/>
  <c r="L73"/>
  <c r="K73"/>
  <c r="J73"/>
  <c r="I73"/>
  <c r="H73"/>
  <c r="G73"/>
  <c r="F73"/>
  <c r="E73"/>
  <c r="D73"/>
  <c r="C73"/>
  <c r="B73"/>
  <c r="A73"/>
  <c r="AA72"/>
  <c r="Z72"/>
  <c r="Y72"/>
  <c r="X72"/>
  <c r="W72"/>
  <c r="V72"/>
  <c r="R72"/>
  <c r="Q72"/>
  <c r="P72"/>
  <c r="O72"/>
  <c r="N72"/>
  <c r="M72"/>
  <c r="L72"/>
  <c r="K72"/>
  <c r="J72"/>
  <c r="I72"/>
  <c r="H72"/>
  <c r="G72"/>
  <c r="F72"/>
  <c r="E72"/>
  <c r="D72"/>
  <c r="C72"/>
  <c r="B72"/>
  <c r="A72"/>
  <c r="AA71"/>
  <c r="Z71"/>
  <c r="Y71"/>
  <c r="X71"/>
  <c r="W71"/>
  <c r="V71"/>
  <c r="R71"/>
  <c r="Q71"/>
  <c r="P71"/>
  <c r="O71"/>
  <c r="N71"/>
  <c r="M71"/>
  <c r="L71"/>
  <c r="K71"/>
  <c r="J71"/>
  <c r="I71"/>
  <c r="H71"/>
  <c r="G71"/>
  <c r="F71"/>
  <c r="E71"/>
  <c r="D71"/>
  <c r="C71"/>
  <c r="B71"/>
  <c r="A71"/>
  <c r="AA70"/>
  <c r="Z70"/>
  <c r="Y70"/>
  <c r="X70"/>
  <c r="W70"/>
  <c r="V70"/>
  <c r="R70"/>
  <c r="Q70"/>
  <c r="P70"/>
  <c r="O70"/>
  <c r="N70"/>
  <c r="M70"/>
  <c r="L70"/>
  <c r="K70"/>
  <c r="J70"/>
  <c r="I70"/>
  <c r="H70"/>
  <c r="G70"/>
  <c r="F70"/>
  <c r="E70"/>
  <c r="D70"/>
  <c r="C70"/>
  <c r="B70"/>
  <c r="A70"/>
  <c r="AA69"/>
  <c r="Z69"/>
  <c r="Y69"/>
  <c r="X69"/>
  <c r="W69"/>
  <c r="V69"/>
  <c r="R69"/>
  <c r="Q69"/>
  <c r="P69"/>
  <c r="O69"/>
  <c r="N69"/>
  <c r="M69"/>
  <c r="L69"/>
  <c r="K69"/>
  <c r="J69"/>
  <c r="I69"/>
  <c r="H69"/>
  <c r="G69"/>
  <c r="F69"/>
  <c r="E69"/>
  <c r="D69"/>
  <c r="C69"/>
  <c r="B69"/>
  <c r="A69"/>
  <c r="AA68"/>
  <c r="Z68"/>
  <c r="Y68"/>
  <c r="X68"/>
  <c r="W68"/>
  <c r="V68"/>
  <c r="R68"/>
  <c r="Q68"/>
  <c r="P68"/>
  <c r="O68"/>
  <c r="N68"/>
  <c r="M68"/>
  <c r="L68"/>
  <c r="K68"/>
  <c r="J68"/>
  <c r="I68"/>
  <c r="H68"/>
  <c r="G68"/>
  <c r="F68"/>
  <c r="E68"/>
  <c r="D68"/>
  <c r="C68"/>
  <c r="B68"/>
  <c r="A68"/>
  <c r="AA67"/>
  <c r="Z67"/>
  <c r="Y67"/>
  <c r="X67"/>
  <c r="W67"/>
  <c r="V67"/>
  <c r="R67"/>
  <c r="Q67"/>
  <c r="P67"/>
  <c r="O67"/>
  <c r="N67"/>
  <c r="M67"/>
  <c r="L67"/>
  <c r="K67"/>
  <c r="J67"/>
  <c r="I67"/>
  <c r="H67"/>
  <c r="G67"/>
  <c r="F67"/>
  <c r="E67"/>
  <c r="D67"/>
  <c r="C67"/>
  <c r="B67"/>
  <c r="A67"/>
  <c r="AA66"/>
  <c r="Z66"/>
  <c r="Y66"/>
  <c r="X66"/>
  <c r="W66"/>
  <c r="V66"/>
  <c r="R66"/>
  <c r="Q66"/>
  <c r="P66"/>
  <c r="O66"/>
  <c r="N66"/>
  <c r="M66"/>
  <c r="L66"/>
  <c r="K66"/>
  <c r="J66"/>
  <c r="I66"/>
  <c r="H66"/>
  <c r="G66"/>
  <c r="F66"/>
  <c r="E66"/>
  <c r="D66"/>
  <c r="C66"/>
  <c r="B66"/>
  <c r="A66"/>
  <c r="AA65"/>
  <c r="Z65"/>
  <c r="Y65"/>
  <c r="X65"/>
  <c r="W65"/>
  <c r="V65"/>
  <c r="R65"/>
  <c r="Q65"/>
  <c r="P65"/>
  <c r="O65"/>
  <c r="N65"/>
  <c r="M65"/>
  <c r="L65"/>
  <c r="K65"/>
  <c r="J65"/>
  <c r="I65"/>
  <c r="H65"/>
  <c r="G65"/>
  <c r="F65"/>
  <c r="E65"/>
  <c r="D65"/>
  <c r="C65"/>
  <c r="B65"/>
  <c r="A65"/>
  <c r="AA64"/>
  <c r="Z64"/>
  <c r="Y64"/>
  <c r="X64"/>
  <c r="W64"/>
  <c r="V64"/>
  <c r="R64"/>
  <c r="Q64"/>
  <c r="P64"/>
  <c r="O64"/>
  <c r="N64"/>
  <c r="M64"/>
  <c r="L64"/>
  <c r="K64"/>
  <c r="J64"/>
  <c r="I64"/>
  <c r="H64"/>
  <c r="G64"/>
  <c r="F64"/>
  <c r="E64"/>
  <c r="D64"/>
  <c r="C64"/>
  <c r="B64"/>
  <c r="A64"/>
  <c r="AA63"/>
  <c r="Z63"/>
  <c r="Y63"/>
  <c r="X63"/>
  <c r="W63"/>
  <c r="V63"/>
  <c r="R63"/>
  <c r="Q63"/>
  <c r="P63"/>
  <c r="O63"/>
  <c r="N63"/>
  <c r="M63"/>
  <c r="L63"/>
  <c r="K63"/>
  <c r="J63"/>
  <c r="I63"/>
  <c r="H63"/>
  <c r="G63"/>
  <c r="F63"/>
  <c r="E63"/>
  <c r="D63"/>
  <c r="C63"/>
  <c r="B63"/>
  <c r="A63"/>
  <c r="AA62"/>
  <c r="Z62"/>
  <c r="Y62"/>
  <c r="X62"/>
  <c r="W62"/>
  <c r="V62"/>
  <c r="R62"/>
  <c r="Q62"/>
  <c r="P62"/>
  <c r="O62"/>
  <c r="N62"/>
  <c r="M62"/>
  <c r="L62"/>
  <c r="K62"/>
  <c r="J62"/>
  <c r="I62"/>
  <c r="H62"/>
  <c r="G62"/>
  <c r="F62"/>
  <c r="E62"/>
  <c r="D62"/>
  <c r="C62"/>
  <c r="B62"/>
  <c r="A62"/>
  <c r="AA61"/>
  <c r="Z61"/>
  <c r="Y61"/>
  <c r="X61"/>
  <c r="W61"/>
  <c r="V61"/>
  <c r="R61"/>
  <c r="Q61"/>
  <c r="P61"/>
  <c r="O61"/>
  <c r="N61"/>
  <c r="M61"/>
  <c r="L61"/>
  <c r="K61"/>
  <c r="J61"/>
  <c r="I61"/>
  <c r="H61"/>
  <c r="G61"/>
  <c r="F61"/>
  <c r="E61"/>
  <c r="D61"/>
  <c r="C61"/>
  <c r="B61"/>
  <c r="A61"/>
  <c r="AA60"/>
  <c r="Z60"/>
  <c r="Y60"/>
  <c r="X60"/>
  <c r="W60"/>
  <c r="V60"/>
  <c r="R60"/>
  <c r="Q60"/>
  <c r="P60"/>
  <c r="O60"/>
  <c r="N60"/>
  <c r="M60"/>
  <c r="L60"/>
  <c r="K60"/>
  <c r="J60"/>
  <c r="I60"/>
  <c r="H60"/>
  <c r="G60"/>
  <c r="F60"/>
  <c r="E60"/>
  <c r="D60"/>
  <c r="C60"/>
  <c r="B60"/>
  <c r="A60"/>
  <c r="AA59"/>
  <c r="Z59"/>
  <c r="Y59"/>
  <c r="X59"/>
  <c r="W59"/>
  <c r="V59"/>
  <c r="R59"/>
  <c r="Q59"/>
  <c r="P59"/>
  <c r="O59"/>
  <c r="N59"/>
  <c r="M59"/>
  <c r="L59"/>
  <c r="K59"/>
  <c r="J59"/>
  <c r="I59"/>
  <c r="H59"/>
  <c r="G59"/>
  <c r="F59"/>
  <c r="E59"/>
  <c r="D59"/>
  <c r="C59"/>
  <c r="B59"/>
  <c r="A59"/>
  <c r="AA58"/>
  <c r="Z58"/>
  <c r="Y58"/>
  <c r="X58"/>
  <c r="W58"/>
  <c r="V58"/>
  <c r="R58"/>
  <c r="Q58"/>
  <c r="P58"/>
  <c r="O58"/>
  <c r="N58"/>
  <c r="M58"/>
  <c r="L58"/>
  <c r="K58"/>
  <c r="J58"/>
  <c r="I58"/>
  <c r="H58"/>
  <c r="G58"/>
  <c r="F58"/>
  <c r="E58"/>
  <c r="D58"/>
  <c r="C58"/>
  <c r="B58"/>
  <c r="A58"/>
  <c r="AA57"/>
  <c r="Z57"/>
  <c r="Y57"/>
  <c r="X57"/>
  <c r="W57"/>
  <c r="V57"/>
  <c r="R57"/>
  <c r="Q57"/>
  <c r="P57"/>
  <c r="O57"/>
  <c r="N57"/>
  <c r="M57"/>
  <c r="L57"/>
  <c r="K57"/>
  <c r="J57"/>
  <c r="I57"/>
  <c r="H57"/>
  <c r="G57"/>
  <c r="F57"/>
  <c r="E57"/>
  <c r="D57"/>
  <c r="C57"/>
  <c r="B57"/>
  <c r="A57"/>
  <c r="AA56"/>
  <c r="Z56"/>
  <c r="Y56"/>
  <c r="X56"/>
  <c r="W56"/>
  <c r="V56"/>
  <c r="R56"/>
  <c r="Q56"/>
  <c r="P56"/>
  <c r="O56"/>
  <c r="N56"/>
  <c r="M56"/>
  <c r="L56"/>
  <c r="K56"/>
  <c r="J56"/>
  <c r="I56"/>
  <c r="H56"/>
  <c r="G56"/>
  <c r="F56"/>
  <c r="E56"/>
  <c r="D56"/>
  <c r="C56"/>
  <c r="B56"/>
  <c r="A56"/>
  <c r="AA55"/>
  <c r="Z55"/>
  <c r="Y55"/>
  <c r="X55"/>
  <c r="W55"/>
  <c r="V55"/>
  <c r="R55"/>
  <c r="Q55"/>
  <c r="P55"/>
  <c r="O55"/>
  <c r="N55"/>
  <c r="M55"/>
  <c r="L55"/>
  <c r="K55"/>
  <c r="J55"/>
  <c r="I55"/>
  <c r="H55"/>
  <c r="G55"/>
  <c r="F55"/>
  <c r="E55"/>
  <c r="D55"/>
  <c r="C55"/>
  <c r="B55"/>
  <c r="A55"/>
  <c r="AA54"/>
  <c r="Z54"/>
  <c r="Y54"/>
  <c r="X54"/>
  <c r="W54"/>
  <c r="V54"/>
  <c r="R54"/>
  <c r="Q54"/>
  <c r="P54"/>
  <c r="O54"/>
  <c r="N54"/>
  <c r="M54"/>
  <c r="L54"/>
  <c r="K54"/>
  <c r="J54"/>
  <c r="I54"/>
  <c r="H54"/>
  <c r="G54"/>
  <c r="F54"/>
  <c r="E54"/>
  <c r="D54"/>
  <c r="C54"/>
  <c r="B54"/>
  <c r="A54"/>
  <c r="AA53"/>
  <c r="Z53"/>
  <c r="Y53"/>
  <c r="X53"/>
  <c r="W53"/>
  <c r="V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AA52"/>
  <c r="Z52"/>
  <c r="Y52"/>
  <c r="X52"/>
  <c r="W52"/>
  <c r="V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AA51"/>
  <c r="Z51"/>
  <c r="Y51"/>
  <c r="X51"/>
  <c r="W51"/>
  <c r="V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AA50"/>
  <c r="Z50"/>
  <c r="Y50"/>
  <c r="X50"/>
  <c r="W50"/>
  <c r="V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AA49"/>
  <c r="Z49"/>
  <c r="Y49"/>
  <c r="X49"/>
  <c r="W49"/>
  <c r="V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AA48"/>
  <c r="Z48"/>
  <c r="Y48"/>
  <c r="X48"/>
  <c r="W48"/>
  <c r="V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AA47"/>
  <c r="Z47"/>
  <c r="Y47"/>
  <c r="X47"/>
  <c r="W47"/>
  <c r="V47"/>
  <c r="R47"/>
  <c r="Q47"/>
  <c r="P47"/>
  <c r="O47"/>
  <c r="N47"/>
  <c r="M47"/>
  <c r="L47"/>
  <c r="K47"/>
  <c r="J47"/>
  <c r="I47"/>
  <c r="H47"/>
  <c r="G47"/>
  <c r="F47"/>
  <c r="E47"/>
  <c r="D47"/>
  <c r="C47"/>
  <c r="B47"/>
  <c r="A47"/>
  <c r="AA46"/>
  <c r="Z46"/>
  <c r="Y46"/>
  <c r="X46"/>
  <c r="W46"/>
  <c r="V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AA45"/>
  <c r="Z45"/>
  <c r="Y45"/>
  <c r="X45"/>
  <c r="W45"/>
  <c r="V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AA44"/>
  <c r="Z44"/>
  <c r="Y44"/>
  <c r="X44"/>
  <c r="W44"/>
  <c r="V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AA43"/>
  <c r="Z43"/>
  <c r="Y43"/>
  <c r="X43"/>
  <c r="W43"/>
  <c r="V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AA42"/>
  <c r="Z42"/>
  <c r="Y42"/>
  <c r="X42"/>
  <c r="W42"/>
  <c r="V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AA41"/>
  <c r="Z41"/>
  <c r="Y41"/>
  <c r="X41"/>
  <c r="W41"/>
  <c r="V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AA40"/>
  <c r="Z40"/>
  <c r="Y40"/>
  <c r="X40"/>
  <c r="W40"/>
  <c r="V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AA39"/>
  <c r="Z39"/>
  <c r="Y39"/>
  <c r="X39"/>
  <c r="W39"/>
  <c r="V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AA38"/>
  <c r="Z38"/>
  <c r="Y38"/>
  <c r="X38"/>
  <c r="W38"/>
  <c r="V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AA37"/>
  <c r="Z37"/>
  <c r="Y37"/>
  <c r="X37"/>
  <c r="W37"/>
  <c r="V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AA36"/>
  <c r="Z36"/>
  <c r="Y36"/>
  <c r="X36"/>
  <c r="W36"/>
  <c r="V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AA35"/>
  <c r="Z35"/>
  <c r="Y35"/>
  <c r="X35"/>
  <c r="W35"/>
  <c r="V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AA34"/>
  <c r="Z34"/>
  <c r="Y34"/>
  <c r="X34"/>
  <c r="W34"/>
  <c r="V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AA33"/>
  <c r="Z33"/>
  <c r="Y33"/>
  <c r="X33"/>
  <c r="W33"/>
  <c r="V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AA32"/>
  <c r="Z32"/>
  <c r="Y32"/>
  <c r="X32"/>
  <c r="W32"/>
  <c r="V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AA31"/>
  <c r="Z31"/>
  <c r="Y31"/>
  <c r="X31"/>
  <c r="W31"/>
  <c r="V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AA30"/>
  <c r="Z30"/>
  <c r="Y30"/>
  <c r="X30"/>
  <c r="W30"/>
  <c r="V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AA29"/>
  <c r="Z29"/>
  <c r="Y29"/>
  <c r="X29"/>
  <c r="W29"/>
  <c r="V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AA28"/>
  <c r="Z28"/>
  <c r="Y28"/>
  <c r="X28"/>
  <c r="W28"/>
  <c r="V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AA27"/>
  <c r="Z27"/>
  <c r="Y27"/>
  <c r="X27"/>
  <c r="W27"/>
  <c r="V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AA26"/>
  <c r="Z26"/>
  <c r="Y26"/>
  <c r="X26"/>
  <c r="W26"/>
  <c r="V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AA25"/>
  <c r="Z25"/>
  <c r="Y25"/>
  <c r="X25"/>
  <c r="W25"/>
  <c r="V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AA24"/>
  <c r="Z24"/>
  <c r="Y24"/>
  <c r="X24"/>
  <c r="W24"/>
  <c r="V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AA23"/>
  <c r="Z23"/>
  <c r="Y23"/>
  <c r="X23"/>
  <c r="W23"/>
  <c r="V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AA22"/>
  <c r="Z22"/>
  <c r="Y22"/>
  <c r="X22"/>
  <c r="W22"/>
  <c r="V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AA21"/>
  <c r="Z21"/>
  <c r="Y21"/>
  <c r="X21"/>
  <c r="W21"/>
  <c r="V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AA20"/>
  <c r="Z20"/>
  <c r="Y20"/>
  <c r="X20"/>
  <c r="W20"/>
  <c r="V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AA19"/>
  <c r="Z19"/>
  <c r="Y19"/>
  <c r="X19"/>
  <c r="W19"/>
  <c r="V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AA18"/>
  <c r="Z18"/>
  <c r="Y18"/>
  <c r="X18"/>
  <c r="W18"/>
  <c r="V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AA17"/>
  <c r="Z17"/>
  <c r="Y17"/>
  <c r="X17"/>
  <c r="W17"/>
  <c r="V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AA16"/>
  <c r="Z16"/>
  <c r="Y16"/>
  <c r="X16"/>
  <c r="W16"/>
  <c r="V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AA15"/>
  <c r="Z15"/>
  <c r="Y15"/>
  <c r="X15"/>
  <c r="W15"/>
  <c r="V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AA14"/>
  <c r="Z14"/>
  <c r="Y14"/>
  <c r="X14"/>
  <c r="W14"/>
  <c r="V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AA13"/>
  <c r="Z13"/>
  <c r="Y13"/>
  <c r="X13"/>
  <c r="W13"/>
  <c r="V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AA12"/>
  <c r="Z12"/>
  <c r="Y12"/>
  <c r="X12"/>
  <c r="W12"/>
  <c r="V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AA11"/>
  <c r="Z11"/>
  <c r="Y11"/>
  <c r="X11"/>
  <c r="W11"/>
  <c r="V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AA10"/>
  <c r="Z10"/>
  <c r="Y10"/>
  <c r="X10"/>
  <c r="W10"/>
  <c r="V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AA9"/>
  <c r="Z9"/>
  <c r="Y9"/>
  <c r="X9"/>
  <c r="W9"/>
  <c r="V9"/>
  <c r="R9"/>
  <c r="Q9"/>
  <c r="P9"/>
  <c r="O9"/>
  <c r="N9"/>
  <c r="M9"/>
  <c r="L9"/>
  <c r="K9"/>
  <c r="J9"/>
  <c r="I9"/>
  <c r="H9"/>
  <c r="G9"/>
  <c r="F9"/>
  <c r="E9"/>
  <c r="D9"/>
  <c r="C9"/>
  <c r="B9"/>
  <c r="A9"/>
  <c r="AA8"/>
  <c r="Z8"/>
  <c r="Y8"/>
  <c r="X8"/>
  <c r="W8"/>
  <c r="V8"/>
  <c r="R8"/>
  <c r="Q8"/>
  <c r="P8"/>
  <c r="O8"/>
  <c r="N8"/>
  <c r="M8"/>
  <c r="L8"/>
  <c r="K8"/>
  <c r="J8"/>
  <c r="I8"/>
  <c r="H8"/>
  <c r="F8"/>
  <c r="E8"/>
  <c r="D8"/>
  <c r="C8"/>
  <c r="B8"/>
  <c r="A8"/>
</calcChain>
</file>

<file path=xl/comments1.xml><?xml version="1.0" encoding="utf-8"?>
<comments xmlns="http://schemas.openxmlformats.org/spreadsheetml/2006/main">
  <authors>
    <author>Tony Hays</author>
  </authors>
  <commentList>
    <comment ref="S105" authorId="0">
      <text>
        <r>
          <rPr>
            <b/>
            <sz val="8"/>
            <color indexed="81"/>
            <rFont val="Tahoma"/>
            <family val="2"/>
          </rPr>
          <t>Tony Hays:</t>
        </r>
        <r>
          <rPr>
            <sz val="8"/>
            <color indexed="81"/>
            <rFont val="Tahoma"/>
            <family val="2"/>
          </rPr>
          <t xml:space="preserve">
Wikipedia</t>
        </r>
      </text>
    </comment>
  </commentList>
</comments>
</file>

<file path=xl/sharedStrings.xml><?xml version="1.0" encoding="utf-8"?>
<sst xmlns="http://schemas.openxmlformats.org/spreadsheetml/2006/main" count="33" uniqueCount="33">
  <si>
    <t>AVIATION WEEK INTELLIGENCE NETWORK</t>
  </si>
  <si>
    <t>Commercial Aircraft Specification Details</t>
  </si>
  <si>
    <t>Contractor</t>
  </si>
  <si>
    <t>AWIN Profile</t>
  </si>
  <si>
    <t>City</t>
  </si>
  <si>
    <t>Country</t>
  </si>
  <si>
    <t>Designation</t>
  </si>
  <si>
    <t>Type</t>
  </si>
  <si>
    <t>Crew</t>
  </si>
  <si>
    <t>Number of Passengers</t>
  </si>
  <si>
    <t>Wing Span (Feet)</t>
  </si>
  <si>
    <t>Wing Area (Square Feet)</t>
  </si>
  <si>
    <t>Maximum Length (Feet)</t>
  </si>
  <si>
    <t>Maximum Height (Feet)</t>
  </si>
  <si>
    <t>Empty Weight (Pounds)</t>
  </si>
  <si>
    <t>Gross Weight (Pounds)</t>
  </si>
  <si>
    <t>Maximum Landing Weight (Pounds)</t>
  </si>
  <si>
    <t>Cargo Capacity (Pounds)</t>
  </si>
  <si>
    <t>Powerplant Number, Make &amp; Model</t>
  </si>
  <si>
    <t>Maximum Speed (Mach or MPH)</t>
  </si>
  <si>
    <t>Best Cruise Speed (MPH or Mach Number)</t>
  </si>
  <si>
    <t>FAA Takeoff Field Length (Feet)</t>
  </si>
  <si>
    <t>FAA Landing Field Length (Feet)</t>
  </si>
  <si>
    <t>Still-Air Range (Miles)</t>
  </si>
  <si>
    <t>Status/Outlook/Remarks</t>
  </si>
  <si>
    <t>Military Aircraft, Rotary-Wing Aircraft, Gas Turbine Engines, UAV, UPGW, Launch Vehicles, Missiles  and  Spacecraft specification data provided by</t>
  </si>
  <si>
    <t xml:space="preserve">Forecast International </t>
  </si>
  <si>
    <t>Copyright Aviationweek.com, 2011</t>
  </si>
  <si>
    <t>State/ Province</t>
  </si>
  <si>
    <t>Thrust/engine</t>
  </si>
  <si>
    <t>T/W</t>
  </si>
  <si>
    <t>W/S</t>
  </si>
  <si>
    <t xml:space="preserve">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</si>
</sst>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2C2C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33" borderId="10" xfId="0" applyFill="1" applyBorder="1" applyAlignment="1">
      <alignment horizontal="left" wrapText="1"/>
    </xf>
    <xf numFmtId="0" fontId="19" fillId="33" borderId="10" xfId="42" applyFill="1" applyBorder="1" applyAlignment="1" applyProtection="1">
      <alignment horizontal="left" wrapText="1"/>
    </xf>
    <xf numFmtId="0" fontId="0" fillId="34" borderId="10" xfId="0" applyFill="1" applyBorder="1" applyAlignment="1">
      <alignment horizontal="left" wrapText="1"/>
    </xf>
    <xf numFmtId="0" fontId="19" fillId="34" borderId="10" xfId="42" applyFill="1" applyBorder="1" applyAlignment="1" applyProtection="1">
      <alignment horizontal="left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0" fillId="33" borderId="10" xfId="0" applyFill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19" fillId="0" borderId="0" xfId="42" applyAlignment="1" applyProtection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0" fillId="0" borderId="11" xfId="0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9" TargetMode="External"/><Relationship Id="rId21" Type="http://schemas.openxmlformats.org/officeDocument/2006/relationships/hyperlink" Target="http://www.aviationweek.com/wad/wad_loggedin/displayQuickSearch.do?parameter=displayAll&amp;fromModule=personnels&amp;orgId=33990&amp;orgName=Airbus+S.A.S.&amp;key=1327473512945" TargetMode="External"/><Relationship Id="rId42" Type="http://schemas.openxmlformats.org/officeDocument/2006/relationships/hyperlink" Target="http://www.aviationweek.com/wad/wad_loggedin/displayQuickSearch.do?parameter=displayAll&amp;fromModule=personnels&amp;orgId=33990&amp;orgName=Airbus+S.A.S.&amp;key=1327473512953" TargetMode="External"/><Relationship Id="rId63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60" TargetMode="External"/><Relationship Id="rId84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8" TargetMode="External"/><Relationship Id="rId138" Type="http://schemas.openxmlformats.org/officeDocument/2006/relationships/hyperlink" Target="http://www.aviationweek.com/wad/wad_loggedin/displayQuickSearch.do?parameter=displayAll&amp;fromModule=personnels&amp;orgId=41340&amp;orgName=Bombardier+Aerospace&amp;key=1327473512986" TargetMode="External"/><Relationship Id="rId159" Type="http://schemas.openxmlformats.org/officeDocument/2006/relationships/hyperlink" Target="http://www.aviationweek.com/wad/wad_loggedin/displayQuickSearch.do?parameter=displayAll&amp;fromModule=personnels&amp;orgId=14162&amp;orgName=Embraer+S.A.&amp;key=1327473512994" TargetMode="External"/><Relationship Id="rId170" Type="http://schemas.openxmlformats.org/officeDocument/2006/relationships/hyperlink" Target="http://www.aviationweek.com/wad/wad_loggedin/displayQuickSearch.do?parameter=displayAll&amp;fromModule=personnels&amp;orgId=14162&amp;orgName=Embraer+S.A.&amp;key=1327473512997" TargetMode="External"/><Relationship Id="rId191" Type="http://schemas.openxmlformats.org/officeDocument/2006/relationships/hyperlink" Target="http://www.aviationweek.com/wad/wad_loggedin/displayQuickSearch.do?parameter=displayAll&amp;fromModule=personnels&amp;orgId=45983&amp;orgName=Komsomolsk-on-Amur+Aircraft+Production+Association+(KNAAPO)&amp;key=1327473513006" TargetMode="External"/><Relationship Id="rId205" Type="http://schemas.openxmlformats.org/officeDocument/2006/relationships/hyperlink" Target="http://www.aviationweek.com/wad/wad_loggedin/displayQuickSearch.do?parameter=displayAll&amp;fromModule=personnels&amp;orgId=40439&amp;orgName=Sukhoi+Design+Bureau+JSC&amp;key=1327473513011" TargetMode="External"/><Relationship Id="rId107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6" TargetMode="External"/><Relationship Id="rId11" Type="http://schemas.openxmlformats.org/officeDocument/2006/relationships/hyperlink" Target="http://www.aviationweek.com/wad/wad_loggedin/displayQuickSearch.do?parameter=displayAll&amp;fromModule=personnels&amp;orgId=46512&amp;orgName=ATR&amp;key=1327473512942" TargetMode="External"/><Relationship Id="rId32" Type="http://schemas.openxmlformats.org/officeDocument/2006/relationships/hyperlink" Target="http://www.aviationweek.com/wad/wad_loggedin/displayQuickSearch.do?parameter=displayAll&amp;fromModule=personnels&amp;orgId=33990&amp;orgName=Airbus+S.A.S.&amp;key=1327473512949" TargetMode="External"/><Relationship Id="rId37" Type="http://schemas.openxmlformats.org/officeDocument/2006/relationships/hyperlink" Target="http://www.aviationweek.com/wad/wad_loggedin/displayQuickSearch.do?parameter=displayAll&amp;fromModule=personnels&amp;orgId=33990&amp;orgName=Airbus+S.A.S.&amp;key=1327473512949" TargetMode="External"/><Relationship Id="rId53" Type="http://schemas.openxmlformats.org/officeDocument/2006/relationships/hyperlink" Target="http://www.aviationweek.com/wad/wad_loggedin/displayQuickSearch.do?parameter=displayAll&amp;fromModule=personnels&amp;orgId=33990&amp;orgName=Airbus+S.A.S.&amp;key=1327473512957" TargetMode="External"/><Relationship Id="rId58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58" TargetMode="External"/><Relationship Id="rId74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4" TargetMode="External"/><Relationship Id="rId79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5" TargetMode="External"/><Relationship Id="rId102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5" TargetMode="External"/><Relationship Id="rId123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82" TargetMode="External"/><Relationship Id="rId128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83" TargetMode="External"/><Relationship Id="rId144" Type="http://schemas.openxmlformats.org/officeDocument/2006/relationships/hyperlink" Target="http://www.aviationweek.com/wad/wad_loggedin/displayQuickSearch.do?parameter=displayAll&amp;fromModule=personnels&amp;orgId=41340&amp;orgName=Bombardier+Aerospace&amp;key=1327473512989" TargetMode="External"/><Relationship Id="rId149" Type="http://schemas.openxmlformats.org/officeDocument/2006/relationships/hyperlink" Target="http://www.aviationweek.com/wad/wad_loggedin/displayQuickSearch.do?parameter=displayAll&amp;fromModule=personnels&amp;orgId=41340&amp;orgName=Bombardier+Aerospace&amp;key=1327473512990" TargetMode="External"/><Relationship Id="rId5" Type="http://schemas.openxmlformats.org/officeDocument/2006/relationships/hyperlink" Target="http://www.aviationweek.com/wad/wad_loggedin/displayQuickSearch.do?parameter=displayAll&amp;fromModule=personnels&amp;orgId=46512&amp;orgName=ATR&amp;key=1327473512939" TargetMode="External"/><Relationship Id="rId90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9" TargetMode="External"/><Relationship Id="rId95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2" TargetMode="External"/><Relationship Id="rId160" Type="http://schemas.openxmlformats.org/officeDocument/2006/relationships/hyperlink" Target="http://www.aviationweek.com/wad/wad_loggedin/displayQuickSearch.do?parameter=displayAll&amp;fromModule=personnels&amp;orgId=14162&amp;orgName=Embraer+S.A.&amp;key=1327473512994" TargetMode="External"/><Relationship Id="rId165" Type="http://schemas.openxmlformats.org/officeDocument/2006/relationships/hyperlink" Target="http://www.aviationweek.com/wad/wad_loggedin/displayQuickSearch.do?parameter=displayAll&amp;fromModule=personnels&amp;orgId=14162&amp;orgName=Embraer+S.A.&amp;key=1327473512996" TargetMode="External"/><Relationship Id="rId181" Type="http://schemas.openxmlformats.org/officeDocument/2006/relationships/hyperlink" Target="http://www.aviationweek.com/wad/wad_loggedin/displayQuickSearch.do?parameter=displayAll&amp;fromModule=personnels&amp;orgId=47384&amp;orgName=Fokker+Aircraft+Services&amp;key=1327473513003" TargetMode="External"/><Relationship Id="rId186" Type="http://schemas.openxmlformats.org/officeDocument/2006/relationships/hyperlink" Target="http://www.aviationweek.com/wad/wad_loggedin/displayQuickSearch.do?parameter=displayAll&amp;fromModule=personnels&amp;orgId=16244&amp;orgName=Harbin+Aircraft+Industry+Group&amp;key=1327473513004" TargetMode="External"/><Relationship Id="rId211" Type="http://schemas.openxmlformats.org/officeDocument/2006/relationships/hyperlink" Target="http://www.aviationweek.com/wad/wad_loggedin/displayQuickSearch.do?parameter=displayAll&amp;fromModule=personnels&amp;orgId=27833&amp;orgName=Xi" TargetMode="External"/><Relationship Id="rId22" Type="http://schemas.openxmlformats.org/officeDocument/2006/relationships/hyperlink" Target="http://www.aviationweek.com/wad/wad_loggedin/displayQuickSearch.do?parameter=displayAll&amp;fromModule=personnels&amp;orgId=33990&amp;orgName=Airbus+S.A.S.&amp;key=1327473512945" TargetMode="External"/><Relationship Id="rId27" Type="http://schemas.openxmlformats.org/officeDocument/2006/relationships/hyperlink" Target="http://www.aviationweek.com/wad/wad_loggedin/displayQuickSearch.do?parameter=displayAll&amp;fromModule=personnels&amp;orgId=33990&amp;orgName=Airbus+S.A.S.&amp;key=1327473512946" TargetMode="External"/><Relationship Id="rId43" Type="http://schemas.openxmlformats.org/officeDocument/2006/relationships/hyperlink" Target="http://www.aviationweek.com/wad/wad_loggedin/displayQuickSearch.do?parameter=displayAll&amp;fromModule=personnels&amp;orgId=33990&amp;orgName=Airbus+S.A.S.&amp;key=1327473512953" TargetMode="External"/><Relationship Id="rId48" Type="http://schemas.openxmlformats.org/officeDocument/2006/relationships/hyperlink" Target="http://www.aviationweek.com/wad/wad_loggedin/displayQuickSearch.do?parameter=displayAll&amp;fromModule=personnels&amp;orgId=33990&amp;orgName=Airbus+S.A.S.&amp;key=1327473512954" TargetMode="External"/><Relationship Id="rId64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60" TargetMode="External"/><Relationship Id="rId69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2" TargetMode="External"/><Relationship Id="rId113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8" TargetMode="External"/><Relationship Id="rId118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9" TargetMode="External"/><Relationship Id="rId134" Type="http://schemas.openxmlformats.org/officeDocument/2006/relationships/hyperlink" Target="http://www.aviationweek.com/wad/wad_loggedin/displayQuickSearch.do?parameter=displayAll&amp;fromModule=personnels&amp;orgId=41340&amp;orgName=Bombardier+Aerospace&amp;key=1327473512986" TargetMode="External"/><Relationship Id="rId139" Type="http://schemas.openxmlformats.org/officeDocument/2006/relationships/hyperlink" Target="http://www.aviationweek.com/wad/wad_loggedin/displayQuickSearch.do?parameter=displayAll&amp;fromModule=personnels&amp;orgId=41340&amp;orgName=Bombardier+Aerospace&amp;key=1327473512987" TargetMode="External"/><Relationship Id="rId80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5" TargetMode="External"/><Relationship Id="rId85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8" TargetMode="External"/><Relationship Id="rId150" Type="http://schemas.openxmlformats.org/officeDocument/2006/relationships/hyperlink" Target="http://www.aviationweek.com/wad/wad_loggedin/displayQuickSearch.do?parameter=displayAll&amp;fromModule=personnels&amp;orgId=41340&amp;orgName=Bombardier+Aerospace&amp;key=1327473512990" TargetMode="External"/><Relationship Id="rId155" Type="http://schemas.openxmlformats.org/officeDocument/2006/relationships/hyperlink" Target="http://www.aviationweek.com/wad/wad_loggedin/displayQuickSearch.do?parameter=displayAll&amp;fromModule=personnels&amp;orgId=239150&amp;orgName=Commercial+Aircraft+Corp.+of+China+Ltd.&amp;key=1327473512993" TargetMode="External"/><Relationship Id="rId171" Type="http://schemas.openxmlformats.org/officeDocument/2006/relationships/hyperlink" Target="http://www.aviationweek.com/wad/wad_loggedin/displayQuickSearch.do?parameter=displayAll&amp;fromModule=personnels&amp;orgId=14162&amp;orgName=Embraer+S.A.&amp;key=1327473512999" TargetMode="External"/><Relationship Id="rId176" Type="http://schemas.openxmlformats.org/officeDocument/2006/relationships/hyperlink" Target="http://www.aviationweek.com/wad/wad_loggedin/displayQuickSearch.do?parameter=displayAll&amp;fromModule=personnels&amp;orgId=14162&amp;orgName=Embraer+S.A.&amp;key=1327473513000" TargetMode="External"/><Relationship Id="rId192" Type="http://schemas.openxmlformats.org/officeDocument/2006/relationships/hyperlink" Target="http://www.aviationweek.com/wad/wad_loggedin/displayQuickSearch.do?parameter=displayAll&amp;fromModule=personnels&amp;orgId=23576&amp;orgName=Lockheed+Martin+Aeronautics+Co.&amp;key=1327473513007" TargetMode="External"/><Relationship Id="rId197" Type="http://schemas.openxmlformats.org/officeDocument/2006/relationships/hyperlink" Target="http://www.aviationweek.com/wad/wad_loggedin/displayQuickSearch.do?parameter=displayAll&amp;fromModule=personnels&amp;orgId=14192&amp;orgName=RUAG+Aerospace&amp;key=1327473513008" TargetMode="External"/><Relationship Id="rId206" Type="http://schemas.openxmlformats.org/officeDocument/2006/relationships/hyperlink" Target="http://www.aviationweek.com/wad/wad_loggedin/displayQuickSearch.do?parameter=displayAll&amp;fromModule=personnels&amp;orgId=115804&amp;orgName=Vulcanair+S.p.A.&amp;key=1327473513011" TargetMode="External"/><Relationship Id="rId201" Type="http://schemas.openxmlformats.org/officeDocument/2006/relationships/hyperlink" Target="http://www.aviationweek.com/wad/wad_loggedin/displayQuickSearch.do?parameter=displayAll&amp;fromModule=personnels&amp;orgId=40638&amp;orgName=Saab+AB&amp;key=1327473513010" TargetMode="External"/><Relationship Id="rId12" Type="http://schemas.openxmlformats.org/officeDocument/2006/relationships/hyperlink" Target="http://www.aviationweek.com/wad/wad_loggedin/displayQuickSearch.do?parameter=displayAll&amp;fromModule=personnels&amp;orgId=46512&amp;orgName=ATR&amp;key=1327473512942" TargetMode="External"/><Relationship Id="rId17" Type="http://schemas.openxmlformats.org/officeDocument/2006/relationships/hyperlink" Target="http://www.aviationweek.com/wad/wad_loggedin/displayQuickSearch.do?parameter=displayAll&amp;fromModule=personnels&amp;orgId=46512&amp;orgName=ATR&amp;key=1327473512943" TargetMode="External"/><Relationship Id="rId33" Type="http://schemas.openxmlformats.org/officeDocument/2006/relationships/hyperlink" Target="http://www.aviationweek.com/wad/wad_loggedin/displayQuickSearch.do?parameter=displayAll&amp;fromModule=personnels&amp;orgId=33990&amp;orgName=Airbus+S.A.S.&amp;key=1327473512949" TargetMode="External"/><Relationship Id="rId38" Type="http://schemas.openxmlformats.org/officeDocument/2006/relationships/hyperlink" Target="http://www.aviationweek.com/wad/wad_loggedin/displayQuickSearch.do?parameter=displayAll&amp;fromModule=personnels&amp;orgId=33990&amp;orgName=Airbus+S.A.S.&amp;key=1327473512950" TargetMode="External"/><Relationship Id="rId59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58" TargetMode="External"/><Relationship Id="rId103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5" TargetMode="External"/><Relationship Id="rId108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6" TargetMode="External"/><Relationship Id="rId124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82" TargetMode="External"/><Relationship Id="rId129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83" TargetMode="External"/><Relationship Id="rId54" Type="http://schemas.openxmlformats.org/officeDocument/2006/relationships/hyperlink" Target="http://www.aviationweek.com/wad/wad_loggedin/displayQuickSearch.do?parameter=displayAll&amp;fromModule=personnels&amp;orgId=20458&amp;orgName=B-N+Group+Ltd.&amp;key=1327473512957" TargetMode="External"/><Relationship Id="rId70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2" TargetMode="External"/><Relationship Id="rId75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4" TargetMode="External"/><Relationship Id="rId91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1" TargetMode="External"/><Relationship Id="rId96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2" TargetMode="External"/><Relationship Id="rId140" Type="http://schemas.openxmlformats.org/officeDocument/2006/relationships/hyperlink" Target="http://www.aviationweek.com/wad/wad_loggedin/displayQuickSearch.do?parameter=displayAll&amp;fromModule=personnels&amp;orgId=41340&amp;orgName=Bombardier+Aerospace&amp;key=1327473512987" TargetMode="External"/><Relationship Id="rId145" Type="http://schemas.openxmlformats.org/officeDocument/2006/relationships/hyperlink" Target="http://www.aviationweek.com/wad/wad_loggedin/displayQuickSearch.do?parameter=displayAll&amp;fromModule=personnels&amp;orgId=41340&amp;orgName=Bombardier+Aerospace&amp;key=1327473512989" TargetMode="External"/><Relationship Id="rId161" Type="http://schemas.openxmlformats.org/officeDocument/2006/relationships/hyperlink" Target="http://www.aviationweek.com/wad/wad_loggedin/displayQuickSearch.do?parameter=displayAll&amp;fromModule=personnels&amp;orgId=14162&amp;orgName=Embraer+S.A.&amp;key=1327473512996" TargetMode="External"/><Relationship Id="rId166" Type="http://schemas.openxmlformats.org/officeDocument/2006/relationships/hyperlink" Target="http://www.aviationweek.com/wad/wad_loggedin/displayQuickSearch.do?parameter=displayAll&amp;fromModule=personnels&amp;orgId=14162&amp;orgName=Embraer+S.A.&amp;key=1327473512997" TargetMode="External"/><Relationship Id="rId182" Type="http://schemas.openxmlformats.org/officeDocument/2006/relationships/hyperlink" Target="http://www.aviationweek.com/wad/wad_loggedin/displayQuickSearch.do?parameter=displayAll&amp;fromModule=personnels&amp;orgId=47384&amp;orgName=Fokker+Aircraft+Services&amp;key=1327473513003" TargetMode="External"/><Relationship Id="rId187" Type="http://schemas.openxmlformats.org/officeDocument/2006/relationships/hyperlink" Target="http://www.aviationweek.com/wad/wad_loggedin/displayQuickSearch.do?parameter=displayAll&amp;fromModule=personnels&amp;orgId=16244&amp;orgName=Harbin+Aircraft+Industry+Group&amp;key=1327473513004" TargetMode="External"/><Relationship Id="rId1" Type="http://schemas.openxmlformats.org/officeDocument/2006/relationships/hyperlink" Target="http://www.aviationweek.com/wad/wad_loggedin/displayQuickSearch.do?parameter=displayAll&amp;fromModule=personnels&amp;orgId=40441&amp;orgName=A.+S.+Yakovlev+Design+Bureau+OJSC&amp;key=1327473512938" TargetMode="External"/><Relationship Id="rId6" Type="http://schemas.openxmlformats.org/officeDocument/2006/relationships/hyperlink" Target="http://www.aviationweek.com/wad/wad_loggedin/displayQuickSearch.do?parameter=displayAll&amp;fromModule=personnels&amp;orgId=46512&amp;orgName=ATR&amp;key=1327473512939" TargetMode="External"/><Relationship Id="rId212" Type="http://schemas.openxmlformats.org/officeDocument/2006/relationships/hyperlink" Target="http://www.forecastinternational.com/" TargetMode="External"/><Relationship Id="rId23" Type="http://schemas.openxmlformats.org/officeDocument/2006/relationships/hyperlink" Target="http://www.aviationweek.com/wad/wad_loggedin/displayQuickSearch.do?parameter=displayAll&amp;fromModule=personnels&amp;orgId=33990&amp;orgName=Airbus+S.A.S.&amp;key=1327473512945" TargetMode="External"/><Relationship Id="rId28" Type="http://schemas.openxmlformats.org/officeDocument/2006/relationships/hyperlink" Target="http://www.aviationweek.com/wad/wad_loggedin/displayQuickSearch.do?parameter=displayAll&amp;fromModule=personnels&amp;orgId=33990&amp;orgName=Airbus+S.A.S.&amp;key=1327473512946" TargetMode="External"/><Relationship Id="rId49" Type="http://schemas.openxmlformats.org/officeDocument/2006/relationships/hyperlink" Target="http://www.aviationweek.com/wad/wad_loggedin/displayQuickSearch.do?parameter=displayAll&amp;fromModule=personnels&amp;orgId=33990&amp;orgName=Airbus+S.A.S.&amp;key=1327473512954" TargetMode="External"/><Relationship Id="rId114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8" TargetMode="External"/><Relationship Id="rId119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80" TargetMode="External"/><Relationship Id="rId44" Type="http://schemas.openxmlformats.org/officeDocument/2006/relationships/hyperlink" Target="http://www.aviationweek.com/wad/wad_loggedin/displayQuickSearch.do?parameter=displayAll&amp;fromModule=personnels&amp;orgId=33990&amp;orgName=Airbus+S.A.S.&amp;key=1327473512953" TargetMode="External"/><Relationship Id="rId60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58" TargetMode="External"/><Relationship Id="rId65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61" TargetMode="External"/><Relationship Id="rId81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7" TargetMode="External"/><Relationship Id="rId86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8" TargetMode="External"/><Relationship Id="rId130" Type="http://schemas.openxmlformats.org/officeDocument/2006/relationships/hyperlink" Target="http://www.aviationweek.com/wad/wad_loggedin/displayQuickSearch.do?parameter=displayAll&amp;fromModule=personnels&amp;orgId=41340&amp;orgName=Bombardier+Aerospace&amp;key=1327473512983" TargetMode="External"/><Relationship Id="rId135" Type="http://schemas.openxmlformats.org/officeDocument/2006/relationships/hyperlink" Target="http://www.aviationweek.com/wad/wad_loggedin/displayQuickSearch.do?parameter=displayAll&amp;fromModule=personnels&amp;orgId=41340&amp;orgName=Bombardier+Aerospace&amp;key=1327473512986" TargetMode="External"/><Relationship Id="rId151" Type="http://schemas.openxmlformats.org/officeDocument/2006/relationships/hyperlink" Target="http://www.aviationweek.com/wad/wad_loggedin/displayQuickSearch.do?parameter=displayAll&amp;fromModule=personnels&amp;orgId=41340&amp;orgName=Bombardier+Aerospace&amp;key=1327473512992" TargetMode="External"/><Relationship Id="rId156" Type="http://schemas.openxmlformats.org/officeDocument/2006/relationships/hyperlink" Target="http://www.aviationweek.com/wad/wad_loggedin/displayQuickSearch.do?parameter=displayAll&amp;fromModule=personnels&amp;orgId=14162&amp;orgName=Embraer+S.A.&amp;key=1327473512993" TargetMode="External"/><Relationship Id="rId177" Type="http://schemas.openxmlformats.org/officeDocument/2006/relationships/hyperlink" Target="http://www.aviationweek.com/wad/wad_loggedin/displayQuickSearch.do?parameter=displayAll&amp;fromModule=personnels&amp;orgId=14162&amp;orgName=Embraer+S.A.&amp;key=1327473513000" TargetMode="External"/><Relationship Id="rId198" Type="http://schemas.openxmlformats.org/officeDocument/2006/relationships/hyperlink" Target="http://www.aviationweek.com/wad/wad_loggedin/displayQuickSearch.do?parameter=displayAll&amp;fromModule=personnels&amp;orgId=40638&amp;orgName=Saab+AB&amp;key=1327473513008" TargetMode="External"/><Relationship Id="rId172" Type="http://schemas.openxmlformats.org/officeDocument/2006/relationships/hyperlink" Target="http://www.aviationweek.com/wad/wad_loggedin/displayQuickSearch.do?parameter=displayAll&amp;fromModule=personnels&amp;orgId=14162&amp;orgName=Embraer+S.A.&amp;key=1327473512999" TargetMode="External"/><Relationship Id="rId193" Type="http://schemas.openxmlformats.org/officeDocument/2006/relationships/hyperlink" Target="http://www.aviationweek.com/wad/wad_loggedin/displayQuickSearch.do?parameter=displayAll&amp;fromModule=personnels&amp;orgId=34454&amp;orgName=Mitsubishi+Heavy+Industries,+Ltd.&amp;key=1327473513007" TargetMode="External"/><Relationship Id="rId202" Type="http://schemas.openxmlformats.org/officeDocument/2006/relationships/hyperlink" Target="http://www.aviationweek.com/wad/wad_loggedin/displayQuickSearch.do?parameter=displayAll&amp;fromModule=personnels&amp;orgId=40638&amp;orgName=Saab+AB&amp;key=1327473513010" TargetMode="External"/><Relationship Id="rId207" Type="http://schemas.openxmlformats.org/officeDocument/2006/relationships/hyperlink" Target="http://www.aviationweek.com/wad/wad_loggedin/displayQuickSearch.do?parameter=displayAll&amp;fromModule=personnels&amp;orgId=115804&amp;orgName=Vulcanair+S.p.A.&amp;key=1327473513011" TargetMode="External"/><Relationship Id="rId13" Type="http://schemas.openxmlformats.org/officeDocument/2006/relationships/hyperlink" Target="http://www.aviationweek.com/wad/wad_loggedin/displayQuickSearch.do?parameter=displayAll&amp;fromModule=personnels&amp;orgId=46512&amp;orgName=ATR&amp;key=1327473512942" TargetMode="External"/><Relationship Id="rId18" Type="http://schemas.openxmlformats.org/officeDocument/2006/relationships/hyperlink" Target="http://www.aviationweek.com/wad/wad_loggedin/displayQuickSearch.do?parameter=displayAll&amp;fromModule=personnels&amp;orgId=46512&amp;orgName=ATR&amp;key=1327473512943" TargetMode="External"/><Relationship Id="rId39" Type="http://schemas.openxmlformats.org/officeDocument/2006/relationships/hyperlink" Target="http://www.aviationweek.com/wad/wad_loggedin/displayQuickSearch.do?parameter=displayAll&amp;fromModule=personnels&amp;orgId=33990&amp;orgName=Airbus+S.A.S.&amp;key=1327473512950" TargetMode="External"/><Relationship Id="rId109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6" TargetMode="External"/><Relationship Id="rId34" Type="http://schemas.openxmlformats.org/officeDocument/2006/relationships/hyperlink" Target="http://www.aviationweek.com/wad/wad_loggedin/displayQuickSearch.do?parameter=displayAll&amp;fromModule=personnels&amp;orgId=33990&amp;orgName=Airbus+S.A.S.&amp;key=1327473512949" TargetMode="External"/><Relationship Id="rId50" Type="http://schemas.openxmlformats.org/officeDocument/2006/relationships/hyperlink" Target="http://www.aviationweek.com/wad/wad_loggedin/displayQuickSearch.do?parameter=displayAll&amp;fromModule=personnels&amp;orgId=33990&amp;orgName=Airbus+S.A.S.&amp;key=1327473512954" TargetMode="External"/><Relationship Id="rId55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57" TargetMode="External"/><Relationship Id="rId76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5" TargetMode="External"/><Relationship Id="rId97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2" TargetMode="External"/><Relationship Id="rId104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5" TargetMode="External"/><Relationship Id="rId120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80" TargetMode="External"/><Relationship Id="rId125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82" TargetMode="External"/><Relationship Id="rId141" Type="http://schemas.openxmlformats.org/officeDocument/2006/relationships/hyperlink" Target="http://www.aviationweek.com/wad/wad_loggedin/displayQuickSearch.do?parameter=displayAll&amp;fromModule=personnels&amp;orgId=41340&amp;orgName=Bombardier+Aerospace&amp;key=1327473512989" TargetMode="External"/><Relationship Id="rId146" Type="http://schemas.openxmlformats.org/officeDocument/2006/relationships/hyperlink" Target="http://www.aviationweek.com/wad/wad_loggedin/displayQuickSearch.do?parameter=displayAll&amp;fromModule=personnels&amp;orgId=41340&amp;orgName=Bombardier+Aerospace&amp;key=1327473512990" TargetMode="External"/><Relationship Id="rId167" Type="http://schemas.openxmlformats.org/officeDocument/2006/relationships/hyperlink" Target="http://www.aviationweek.com/wad/wad_loggedin/displayQuickSearch.do?parameter=displayAll&amp;fromModule=personnels&amp;orgId=14162&amp;orgName=Embraer+S.A.&amp;key=1327473512997" TargetMode="External"/><Relationship Id="rId188" Type="http://schemas.openxmlformats.org/officeDocument/2006/relationships/hyperlink" Target="http://www.aviationweek.com/wad/wad_loggedin/displayQuickSearch.do?parameter=displayAll&amp;fromModule=personnels&amp;orgId=13235&amp;orgName=Hawker+Beechcraft+Corp.&amp;key=1327473513004" TargetMode="External"/><Relationship Id="rId7" Type="http://schemas.openxmlformats.org/officeDocument/2006/relationships/hyperlink" Target="http://www.aviationweek.com/wad/wad_loggedin/displayQuickSearch.do?parameter=displayAll&amp;fromModule=personnels&amp;orgId=46512&amp;orgName=ATR&amp;key=1327473512939" TargetMode="External"/><Relationship Id="rId71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3" TargetMode="External"/><Relationship Id="rId92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1" TargetMode="External"/><Relationship Id="rId162" Type="http://schemas.openxmlformats.org/officeDocument/2006/relationships/hyperlink" Target="http://www.aviationweek.com/wad/wad_loggedin/displayQuickSearch.do?parameter=displayAll&amp;fromModule=personnels&amp;orgId=14162&amp;orgName=Embraer+S.A.&amp;key=1327473512996" TargetMode="External"/><Relationship Id="rId183" Type="http://schemas.openxmlformats.org/officeDocument/2006/relationships/hyperlink" Target="http://www.aviationweek.com/wad/wad_loggedin/displayQuickSearch.do?parameter=displayAll&amp;fromModule=personnels&amp;orgId=47384&amp;orgName=Fokker+Aircraft+Services&amp;key=1327473513003" TargetMode="External"/><Relationship Id="rId213" Type="http://schemas.openxmlformats.org/officeDocument/2006/relationships/vmlDrawing" Target="../drawings/vmlDrawing1.vml"/><Relationship Id="rId2" Type="http://schemas.openxmlformats.org/officeDocument/2006/relationships/hyperlink" Target="http://www.aviationweek.com/wad/wad_loggedin/displayQuickSearch.do?parameter=displayAll&amp;fromModule=personnels&amp;orgId=40441&amp;orgName=A.+S.+Yakovlev+Design+Bureau+OJSC&amp;key=1327473512938" TargetMode="External"/><Relationship Id="rId29" Type="http://schemas.openxmlformats.org/officeDocument/2006/relationships/hyperlink" Target="http://www.aviationweek.com/wad/wad_loggedin/displayQuickSearch.do?parameter=displayAll&amp;fromModule=personnels&amp;orgId=33990&amp;orgName=Airbus+S.A.S.&amp;key=1327473512946" TargetMode="External"/><Relationship Id="rId24" Type="http://schemas.openxmlformats.org/officeDocument/2006/relationships/hyperlink" Target="http://www.aviationweek.com/wad/wad_loggedin/displayQuickSearch.do?parameter=displayAll&amp;fromModule=personnels&amp;orgId=33990&amp;orgName=Airbus+S.A.S.&amp;key=1327473512946" TargetMode="External"/><Relationship Id="rId40" Type="http://schemas.openxmlformats.org/officeDocument/2006/relationships/hyperlink" Target="http://www.aviationweek.com/wad/wad_loggedin/displayQuickSearch.do?parameter=displayAll&amp;fromModule=personnels&amp;orgId=33990&amp;orgName=Airbus+S.A.S.&amp;key=1327473512950" TargetMode="External"/><Relationship Id="rId45" Type="http://schemas.openxmlformats.org/officeDocument/2006/relationships/hyperlink" Target="http://www.aviationweek.com/wad/wad_loggedin/displayQuickSearch.do?parameter=displayAll&amp;fromModule=personnels&amp;orgId=33990&amp;orgName=Airbus+S.A.S.&amp;key=1327473512953" TargetMode="External"/><Relationship Id="rId66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61" TargetMode="External"/><Relationship Id="rId87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8" TargetMode="External"/><Relationship Id="rId110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6" TargetMode="External"/><Relationship Id="rId115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9" TargetMode="External"/><Relationship Id="rId131" Type="http://schemas.openxmlformats.org/officeDocument/2006/relationships/hyperlink" Target="http://www.aviationweek.com/wad/wad_loggedin/displayQuickSearch.do?parameter=displayAll&amp;fromModule=personnels&amp;orgId=41340&amp;orgName=Bombardier+Aerospace&amp;key=1327473512985" TargetMode="External"/><Relationship Id="rId136" Type="http://schemas.openxmlformats.org/officeDocument/2006/relationships/hyperlink" Target="http://www.aviationweek.com/wad/wad_loggedin/displayQuickSearch.do?parameter=displayAll&amp;fromModule=personnels&amp;orgId=41340&amp;orgName=Bombardier+Aerospace&amp;key=1327473512986" TargetMode="External"/><Relationship Id="rId157" Type="http://schemas.openxmlformats.org/officeDocument/2006/relationships/hyperlink" Target="http://www.aviationweek.com/wad/wad_loggedin/displayQuickSearch.do?parameter=displayAll&amp;fromModule=personnels&amp;orgId=14162&amp;orgName=Embraer+S.A.&amp;key=1327473512993" TargetMode="External"/><Relationship Id="rId178" Type="http://schemas.openxmlformats.org/officeDocument/2006/relationships/hyperlink" Target="http://www.aviationweek.com/wad/wad_loggedin/displayQuickSearch.do?parameter=displayAll&amp;fromModule=personnels&amp;orgId=16691&amp;orgName=Fairchild+Dornier&amp;key=1327473513000" TargetMode="External"/><Relationship Id="rId61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60" TargetMode="External"/><Relationship Id="rId82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7" TargetMode="External"/><Relationship Id="rId152" Type="http://schemas.openxmlformats.org/officeDocument/2006/relationships/hyperlink" Target="http://www.aviationweek.com/wad/wad_loggedin/displayQuickSearch.do?parameter=displayAll&amp;fromModule=personnels&amp;orgId=16233&amp;orgName=Bombardier+Aerospace-Belfast&amp;key=1327473512992" TargetMode="External"/><Relationship Id="rId173" Type="http://schemas.openxmlformats.org/officeDocument/2006/relationships/hyperlink" Target="http://www.aviationweek.com/wad/wad_loggedin/displayQuickSearch.do?parameter=displayAll&amp;fromModule=personnels&amp;orgId=14162&amp;orgName=Embraer+S.A.&amp;key=1327473512999" TargetMode="External"/><Relationship Id="rId194" Type="http://schemas.openxmlformats.org/officeDocument/2006/relationships/hyperlink" Target="http://www.aviationweek.com/wad/wad_loggedin/displayQuickSearch.do?parameter=displayAll&amp;fromModule=personnels&amp;orgId=34454&amp;orgName=Mitsubishi+Heavy+Industries,+Ltd.&amp;key=1327473513007" TargetMode="External"/><Relationship Id="rId199" Type="http://schemas.openxmlformats.org/officeDocument/2006/relationships/hyperlink" Target="http://www.aviationweek.com/wad/wad_loggedin/displayQuickSearch.do?parameter=displayAll&amp;fromModule=personnels&amp;orgId=40638&amp;orgName=Saab+AB&amp;key=1327473513008" TargetMode="External"/><Relationship Id="rId203" Type="http://schemas.openxmlformats.org/officeDocument/2006/relationships/hyperlink" Target="http://www.aviationweek.com/wad/wad_loggedin/displayQuickSearch.do?parameter=displayAll&amp;fromModule=personnels&amp;orgId=13139&amp;orgName=Shaanxi+Aircraft+Industry+(Group)+Co.,+Ltd.&amp;key=1327473513010" TargetMode="External"/><Relationship Id="rId208" Type="http://schemas.openxmlformats.org/officeDocument/2006/relationships/hyperlink" Target="http://www.aviationweek.com/wad/wad_loggedin/displayQuickSearch.do?parameter=displayAll&amp;fromModule=personnels&amp;orgId=27833&amp;orgName=Xi" TargetMode="External"/><Relationship Id="rId19" Type="http://schemas.openxmlformats.org/officeDocument/2006/relationships/hyperlink" Target="http://www.aviationweek.com/wad/wad_loggedin/displayQuickSearch.do?parameter=displayAll&amp;fromModule=personnels&amp;orgId=13183&amp;orgName=Airbus+Military&amp;key=1327473512943" TargetMode="External"/><Relationship Id="rId14" Type="http://schemas.openxmlformats.org/officeDocument/2006/relationships/hyperlink" Target="http://www.aviationweek.com/wad/wad_loggedin/displayQuickSearch.do?parameter=displayAll&amp;fromModule=personnels&amp;orgId=46512&amp;orgName=ATR&amp;key=1327473512942" TargetMode="External"/><Relationship Id="rId30" Type="http://schemas.openxmlformats.org/officeDocument/2006/relationships/hyperlink" Target="http://www.aviationweek.com/wad/wad_loggedin/displayQuickSearch.do?parameter=displayAll&amp;fromModule=personnels&amp;orgId=33990&amp;orgName=Airbus+S.A.S.&amp;key=1327473512947" TargetMode="External"/><Relationship Id="rId35" Type="http://schemas.openxmlformats.org/officeDocument/2006/relationships/hyperlink" Target="http://www.aviationweek.com/wad/wad_loggedin/displayQuickSearch.do?parameter=displayAll&amp;fromModule=personnels&amp;orgId=33990&amp;orgName=Airbus+S.A.S.&amp;key=1327473512949" TargetMode="External"/><Relationship Id="rId56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57" TargetMode="External"/><Relationship Id="rId77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5" TargetMode="External"/><Relationship Id="rId100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3" TargetMode="External"/><Relationship Id="rId105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5" TargetMode="External"/><Relationship Id="rId126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83" TargetMode="External"/><Relationship Id="rId147" Type="http://schemas.openxmlformats.org/officeDocument/2006/relationships/hyperlink" Target="http://www.aviationweek.com/wad/wad_loggedin/displayQuickSearch.do?parameter=displayAll&amp;fromModule=personnels&amp;orgId=41340&amp;orgName=Bombardier+Aerospace&amp;key=1327473512990" TargetMode="External"/><Relationship Id="rId168" Type="http://schemas.openxmlformats.org/officeDocument/2006/relationships/hyperlink" Target="http://www.aviationweek.com/wad/wad_loggedin/displayQuickSearch.do?parameter=displayAll&amp;fromModule=personnels&amp;orgId=14162&amp;orgName=Embraer+S.A.&amp;key=1327473512997" TargetMode="External"/><Relationship Id="rId8" Type="http://schemas.openxmlformats.org/officeDocument/2006/relationships/hyperlink" Target="http://www.aviationweek.com/wad/wad_loggedin/displayQuickSearch.do?parameter=displayAll&amp;fromModule=personnels&amp;orgId=46512&amp;orgName=ATR&amp;key=1327473512939" TargetMode="External"/><Relationship Id="rId51" Type="http://schemas.openxmlformats.org/officeDocument/2006/relationships/hyperlink" Target="http://www.aviationweek.com/wad/wad_loggedin/displayQuickSearch.do?parameter=displayAll&amp;fromModule=personnels&amp;orgId=33990&amp;orgName=Airbus+S.A.S.&amp;key=1327473512956" TargetMode="External"/><Relationship Id="rId72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4" TargetMode="External"/><Relationship Id="rId93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1" TargetMode="External"/><Relationship Id="rId98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2" TargetMode="External"/><Relationship Id="rId121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82" TargetMode="External"/><Relationship Id="rId142" Type="http://schemas.openxmlformats.org/officeDocument/2006/relationships/hyperlink" Target="http://www.aviationweek.com/wad/wad_loggedin/displayQuickSearch.do?parameter=displayAll&amp;fromModule=personnels&amp;orgId=41340&amp;orgName=Bombardier+Aerospace&amp;key=1327473512989" TargetMode="External"/><Relationship Id="rId163" Type="http://schemas.openxmlformats.org/officeDocument/2006/relationships/hyperlink" Target="http://www.aviationweek.com/wad/wad_loggedin/displayQuickSearch.do?parameter=displayAll&amp;fromModule=personnels&amp;orgId=14162&amp;orgName=Embraer+S.A.&amp;key=1327473512996" TargetMode="External"/><Relationship Id="rId184" Type="http://schemas.openxmlformats.org/officeDocument/2006/relationships/hyperlink" Target="http://www.aviationweek.com/wad/wad_loggedin/displayQuickSearch.do?parameter=displayAll&amp;fromModule=personnels&amp;orgId=19866&amp;orgName=Fokker+Services+B.V.&amp;key=1327473513004" TargetMode="External"/><Relationship Id="rId189" Type="http://schemas.openxmlformats.org/officeDocument/2006/relationships/hyperlink" Target="http://www.aviationweek.com/wad/wad_loggedin/displayQuickSearch.do?parameter=displayAll&amp;fromModule=personnels&amp;orgId=13235&amp;orgName=Hawker+Beechcraft+Corp.&amp;key=1327473513004" TargetMode="External"/><Relationship Id="rId3" Type="http://schemas.openxmlformats.org/officeDocument/2006/relationships/hyperlink" Target="http://www.aviationweek.com/wad/wad_loggedin/displayQuickSearch.do?parameter=displayAll&amp;fromModule=personnels&amp;orgId=40441&amp;orgName=A.+S.+Yakovlev+Design+Bureau+OJSC&amp;key=1327473512938" TargetMode="External"/><Relationship Id="rId214" Type="http://schemas.openxmlformats.org/officeDocument/2006/relationships/comments" Target="../comments1.xml"/><Relationship Id="rId25" Type="http://schemas.openxmlformats.org/officeDocument/2006/relationships/hyperlink" Target="http://www.aviationweek.com/wad/wad_loggedin/displayQuickSearch.do?parameter=displayAll&amp;fromModule=personnels&amp;orgId=33990&amp;orgName=Airbus+S.A.S.&amp;key=1327473512946" TargetMode="External"/><Relationship Id="rId46" Type="http://schemas.openxmlformats.org/officeDocument/2006/relationships/hyperlink" Target="http://www.aviationweek.com/wad/wad_loggedin/displayQuickSearch.do?parameter=displayAll&amp;fromModule=personnels&amp;orgId=33990&amp;orgName=Airbus+S.A.S.&amp;key=1327473512954" TargetMode="External"/><Relationship Id="rId67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61" TargetMode="External"/><Relationship Id="rId116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9" TargetMode="External"/><Relationship Id="rId137" Type="http://schemas.openxmlformats.org/officeDocument/2006/relationships/hyperlink" Target="http://www.aviationweek.com/wad/wad_loggedin/displayQuickSearch.do?parameter=displayAll&amp;fromModule=personnels&amp;orgId=41340&amp;orgName=Bombardier+Aerospace&amp;key=1327473512986" TargetMode="External"/><Relationship Id="rId158" Type="http://schemas.openxmlformats.org/officeDocument/2006/relationships/hyperlink" Target="http://www.aviationweek.com/wad/wad_loggedin/displayQuickSearch.do?parameter=displayAll&amp;fromModule=personnels&amp;orgId=14162&amp;orgName=Embraer+S.A.&amp;key=1327473512993" TargetMode="External"/><Relationship Id="rId20" Type="http://schemas.openxmlformats.org/officeDocument/2006/relationships/hyperlink" Target="http://www.aviationweek.com/wad/wad_loggedin/displayQuickSearch.do?parameter=displayAll&amp;fromModule=personnels&amp;orgId=13183&amp;orgName=Airbus+Military&amp;key=1327473512943" TargetMode="External"/><Relationship Id="rId41" Type="http://schemas.openxmlformats.org/officeDocument/2006/relationships/hyperlink" Target="http://www.aviationweek.com/wad/wad_loggedin/displayQuickSearch.do?parameter=displayAll&amp;fromModule=personnels&amp;orgId=33990&amp;orgName=Airbus+S.A.S.&amp;key=1327473512952" TargetMode="External"/><Relationship Id="rId62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60" TargetMode="External"/><Relationship Id="rId83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7" TargetMode="External"/><Relationship Id="rId88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8" TargetMode="External"/><Relationship Id="rId111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8" TargetMode="External"/><Relationship Id="rId132" Type="http://schemas.openxmlformats.org/officeDocument/2006/relationships/hyperlink" Target="http://www.aviationweek.com/wad/wad_loggedin/displayQuickSearch.do?parameter=displayAll&amp;fromModule=personnels&amp;orgId=41340&amp;orgName=Bombardier+Aerospace&amp;key=1327473512985" TargetMode="External"/><Relationship Id="rId153" Type="http://schemas.openxmlformats.org/officeDocument/2006/relationships/hyperlink" Target="http://www.aviationweek.com/wad/wad_loggedin/displayQuickSearch.do?parameter=displayAll&amp;fromModule=personnels&amp;orgId=16233&amp;orgName=Bombardier+Aerospace-Belfast&amp;key=1327473512993" TargetMode="External"/><Relationship Id="rId174" Type="http://schemas.openxmlformats.org/officeDocument/2006/relationships/hyperlink" Target="http://www.aviationweek.com/wad/wad_loggedin/displayQuickSearch.do?parameter=displayAll&amp;fromModule=personnels&amp;orgId=14162&amp;orgName=Embraer+S.A.&amp;key=1327473513000" TargetMode="External"/><Relationship Id="rId179" Type="http://schemas.openxmlformats.org/officeDocument/2006/relationships/hyperlink" Target="http://www.aviationweek.com/wad/wad_loggedin/displayQuickSearch.do?parameter=displayAll&amp;fromModule=personnels&amp;orgId=16691&amp;orgName=Fairchild+Dornier&amp;key=1327473513001" TargetMode="External"/><Relationship Id="rId195" Type="http://schemas.openxmlformats.org/officeDocument/2006/relationships/hyperlink" Target="http://www.aviationweek.com/wad/wad_loggedin/displayQuickSearch.do?parameter=displayAll&amp;fromModule=personnels&amp;orgId=30037&amp;orgName=PT.+Dirgantara+Indonesia&amp;key=1327473513007" TargetMode="External"/><Relationship Id="rId209" Type="http://schemas.openxmlformats.org/officeDocument/2006/relationships/hyperlink" Target="http://www.aviationweek.com/wad/wad_loggedin/displayQuickSearch.do?parameter=displayAll&amp;fromModule=personnels&amp;orgId=27833&amp;orgName=Xi" TargetMode="External"/><Relationship Id="rId190" Type="http://schemas.openxmlformats.org/officeDocument/2006/relationships/hyperlink" Target="http://www.aviationweek.com/wad/wad_loggedin/displayQuickSearch.do?parameter=displayAll&amp;fromModule=personnels&amp;orgId=34072&amp;orgName=Hindustan+Aeronautics+Ltd.&amp;key=1327473513005" TargetMode="External"/><Relationship Id="rId204" Type="http://schemas.openxmlformats.org/officeDocument/2006/relationships/hyperlink" Target="http://www.aviationweek.com/wad/wad_loggedin/displayQuickSearch.do?parameter=displayAll&amp;fromModule=personnels&amp;orgId=40439&amp;orgName=Sukhoi+Design+Bureau+JSC&amp;key=1327473513010" TargetMode="External"/><Relationship Id="rId15" Type="http://schemas.openxmlformats.org/officeDocument/2006/relationships/hyperlink" Target="http://www.aviationweek.com/wad/wad_loggedin/displayQuickSearch.do?parameter=displayAll&amp;fromModule=personnels&amp;orgId=46512&amp;orgName=ATR&amp;key=1327473512942" TargetMode="External"/><Relationship Id="rId36" Type="http://schemas.openxmlformats.org/officeDocument/2006/relationships/hyperlink" Target="http://www.aviationweek.com/wad/wad_loggedin/displayQuickSearch.do?parameter=displayAll&amp;fromModule=personnels&amp;orgId=33990&amp;orgName=Airbus+S.A.S.&amp;key=1327473512949" TargetMode="External"/><Relationship Id="rId57" Type="http://schemas.openxmlformats.org/officeDocument/2006/relationships/hyperlink" Target="http://www.aviationweek.com/wad/wad_loggedin/displayQuickSearch.do?parameter=displayAll&amp;fromModule=personnels&amp;orgId=40787&amp;orgName=BAE+Systems+Regional+Aircraft&amp;key=1327473512957" TargetMode="External"/><Relationship Id="rId106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6" TargetMode="External"/><Relationship Id="rId127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83" TargetMode="External"/><Relationship Id="rId10" Type="http://schemas.openxmlformats.org/officeDocument/2006/relationships/hyperlink" Target="http://www.aviationweek.com/wad/wad_loggedin/displayQuickSearch.do?parameter=displayAll&amp;fromModule=personnels&amp;orgId=46512&amp;orgName=ATR&amp;key=1327473512940" TargetMode="External"/><Relationship Id="rId31" Type="http://schemas.openxmlformats.org/officeDocument/2006/relationships/hyperlink" Target="http://www.aviationweek.com/wad/wad_loggedin/displayQuickSearch.do?parameter=displayAll&amp;fromModule=personnels&amp;orgId=33990&amp;orgName=Airbus+S.A.S.&amp;key=1327473512948" TargetMode="External"/><Relationship Id="rId52" Type="http://schemas.openxmlformats.org/officeDocument/2006/relationships/hyperlink" Target="http://www.aviationweek.com/wad/wad_loggedin/displayQuickSearch.do?parameter=displayAll&amp;fromModule=personnels&amp;orgId=33990&amp;orgName=Airbus+S.A.S.&amp;key=1327473512956" TargetMode="External"/><Relationship Id="rId73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4" TargetMode="External"/><Relationship Id="rId78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5" TargetMode="External"/><Relationship Id="rId94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1" TargetMode="External"/><Relationship Id="rId99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2" TargetMode="External"/><Relationship Id="rId101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5" TargetMode="External"/><Relationship Id="rId122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82" TargetMode="External"/><Relationship Id="rId143" Type="http://schemas.openxmlformats.org/officeDocument/2006/relationships/hyperlink" Target="http://www.aviationweek.com/wad/wad_loggedin/displayQuickSearch.do?parameter=displayAll&amp;fromModule=personnels&amp;orgId=41340&amp;orgName=Bombardier+Aerospace&amp;key=1327473512989" TargetMode="External"/><Relationship Id="rId148" Type="http://schemas.openxmlformats.org/officeDocument/2006/relationships/hyperlink" Target="http://www.aviationweek.com/wad/wad_loggedin/displayQuickSearch.do?parameter=displayAll&amp;fromModule=personnels&amp;orgId=41340&amp;orgName=Bombardier+Aerospace&amp;key=1327473512990" TargetMode="External"/><Relationship Id="rId164" Type="http://schemas.openxmlformats.org/officeDocument/2006/relationships/hyperlink" Target="http://www.aviationweek.com/wad/wad_loggedin/displayQuickSearch.do?parameter=displayAll&amp;fromModule=personnels&amp;orgId=14162&amp;orgName=Embraer+S.A.&amp;key=1327473512996" TargetMode="External"/><Relationship Id="rId169" Type="http://schemas.openxmlformats.org/officeDocument/2006/relationships/hyperlink" Target="http://www.aviationweek.com/wad/wad_loggedin/displayQuickSearch.do?parameter=displayAll&amp;fromModule=personnels&amp;orgId=14162&amp;orgName=Embraer+S.A.&amp;key=1327473512997" TargetMode="External"/><Relationship Id="rId185" Type="http://schemas.openxmlformats.org/officeDocument/2006/relationships/hyperlink" Target="http://www.aviationweek.com/wad/wad_loggedin/displayQuickSearch.do?parameter=displayAll&amp;fromModule=personnels&amp;orgId=19866&amp;orgName=Fokker+Services+B.V.&amp;key=1327473513004" TargetMode="External"/><Relationship Id="rId4" Type="http://schemas.openxmlformats.org/officeDocument/2006/relationships/hyperlink" Target="http://www.aviationweek.com/wad/wad_loggedin/displayQuickSearch.do?parameter=displayAll&amp;fromModule=personnels&amp;orgId=46512&amp;orgName=ATR&amp;key=1327473512939" TargetMode="External"/><Relationship Id="rId9" Type="http://schemas.openxmlformats.org/officeDocument/2006/relationships/hyperlink" Target="http://www.aviationweek.com/wad/wad_loggedin/displayQuickSearch.do?parameter=displayAll&amp;fromModule=personnels&amp;orgId=46512&amp;orgName=ATR&amp;key=1327473512939" TargetMode="External"/><Relationship Id="rId180" Type="http://schemas.openxmlformats.org/officeDocument/2006/relationships/hyperlink" Target="http://www.aviationweek.com/wad/wad_loggedin/displayQuickSearch.do?parameter=displayAll&amp;fromModule=personnels&amp;orgId=16691&amp;orgName=Fairchild+Dornier&amp;key=1327473513001" TargetMode="External"/><Relationship Id="rId210" Type="http://schemas.openxmlformats.org/officeDocument/2006/relationships/hyperlink" Target="http://www.aviationweek.com/wad/wad_loggedin/displayQuickSearch.do?parameter=displayAll&amp;fromModule=personnels&amp;orgId=27833&amp;orgName=Xi" TargetMode="External"/><Relationship Id="rId26" Type="http://schemas.openxmlformats.org/officeDocument/2006/relationships/hyperlink" Target="http://www.aviationweek.com/wad/wad_loggedin/displayQuickSearch.do?parameter=displayAll&amp;fromModule=personnels&amp;orgId=33990&amp;orgName=Airbus+S.A.S.&amp;key=1327473512946" TargetMode="External"/><Relationship Id="rId47" Type="http://schemas.openxmlformats.org/officeDocument/2006/relationships/hyperlink" Target="http://www.aviationweek.com/wad/wad_loggedin/displayQuickSearch.do?parameter=displayAll&amp;fromModule=personnels&amp;orgId=33990&amp;orgName=Airbus+S.A.S.&amp;key=1327473512954" TargetMode="External"/><Relationship Id="rId68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1" TargetMode="External"/><Relationship Id="rId89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69" TargetMode="External"/><Relationship Id="rId112" Type="http://schemas.openxmlformats.org/officeDocument/2006/relationships/hyperlink" Target="http://www.aviationweek.com/wad/wad_loggedin/displayQuickSearch.do?parameter=displayAll&amp;fromModule=personnels&amp;orgId=10870&amp;orgName=Boeing+Commercial+Airplanes&amp;key=1327473512978" TargetMode="External"/><Relationship Id="rId133" Type="http://schemas.openxmlformats.org/officeDocument/2006/relationships/hyperlink" Target="http://www.aviationweek.com/wad/wad_loggedin/displayQuickSearch.do?parameter=displayAll&amp;fromModule=personnels&amp;orgId=41340&amp;orgName=Bombardier+Aerospace&amp;key=1327473512985" TargetMode="External"/><Relationship Id="rId154" Type="http://schemas.openxmlformats.org/officeDocument/2006/relationships/hyperlink" Target="http://www.aviationweek.com/wad/wad_loggedin/displayQuickSearch.do?parameter=displayAll&amp;fromModule=personnels&amp;orgId=239150&amp;orgName=Commercial+Aircraft+Corp.+of+China+Ltd.&amp;key=1327473512993" TargetMode="External"/><Relationship Id="rId175" Type="http://schemas.openxmlformats.org/officeDocument/2006/relationships/hyperlink" Target="http://www.aviationweek.com/wad/wad_loggedin/displayQuickSearch.do?parameter=displayAll&amp;fromModule=personnels&amp;orgId=14162&amp;orgName=Embraer+S.A.&amp;key=1327473513000" TargetMode="External"/><Relationship Id="rId196" Type="http://schemas.openxmlformats.org/officeDocument/2006/relationships/hyperlink" Target="http://www.aviationweek.com/wad/wad_loggedin/displayQuickSearch.do?parameter=displayAll&amp;fromModule=personnels&amp;orgId=18692&amp;orgName=Pilatus+Aircraft+Ltd.&amp;key=1327473513007" TargetMode="External"/><Relationship Id="rId200" Type="http://schemas.openxmlformats.org/officeDocument/2006/relationships/hyperlink" Target="http://www.aviationweek.com/wad/wad_loggedin/displayQuickSearch.do?parameter=displayAll&amp;fromModule=personnels&amp;orgId=40638&amp;orgName=Saab+AB&amp;key=1327473513008" TargetMode="External"/><Relationship Id="rId16" Type="http://schemas.openxmlformats.org/officeDocument/2006/relationships/hyperlink" Target="http://www.aviationweek.com/wad/wad_loggedin/displayQuickSearch.do?parameter=displayAll&amp;fromModule=personnels&amp;orgId=46512&amp;orgName=ATR&amp;key=132747351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3"/>
  <sheetViews>
    <sheetView showGridLines="0" tabSelected="1" topLeftCell="E6" workbookViewId="0">
      <pane xSplit="2" ySplit="2" topLeftCell="G8" activePane="bottomRight" state="frozen"/>
      <selection activeCell="E6" sqref="E6"/>
      <selection pane="topRight" activeCell="G6" sqref="G6"/>
      <selection pane="bottomLeft" activeCell="E8" sqref="E8"/>
      <selection pane="bottomRight" activeCell="G8" sqref="G8"/>
    </sheetView>
  </sheetViews>
  <sheetFormatPr defaultRowHeight="14.4"/>
  <cols>
    <col min="1" max="1" width="53.6640625" customWidth="1"/>
    <col min="2" max="2" width="54.44140625" customWidth="1"/>
    <col min="3" max="3" width="19.88671875" customWidth="1"/>
    <col min="4" max="4" width="11.77734375" customWidth="1"/>
    <col min="5" max="5" width="17.88671875" customWidth="1"/>
    <col min="6" max="6" width="33.77734375" customWidth="1"/>
    <col min="7" max="7" width="27.109375" customWidth="1"/>
    <col min="8" max="8" width="5.21875" customWidth="1"/>
    <col min="9" max="9" width="11.21875" customWidth="1"/>
    <col min="10" max="10" width="7.33203125" customWidth="1"/>
    <col min="11" max="11" width="9.5546875" customWidth="1"/>
    <col min="12" max="13" width="9.77734375" customWidth="1"/>
    <col min="14" max="14" width="9.109375" customWidth="1"/>
    <col min="15" max="15" width="10.21875" customWidth="1"/>
    <col min="16" max="16" width="14.5546875" customWidth="1"/>
    <col min="17" max="17" width="11.21875" customWidth="1"/>
    <col min="18" max="18" width="50" customWidth="1"/>
    <col min="19" max="21" width="7.33203125" customWidth="1"/>
    <col min="22" max="22" width="12.21875" customWidth="1"/>
    <col min="23" max="23" width="13.88671875" customWidth="1"/>
    <col min="24" max="25" width="12.5546875" customWidth="1"/>
    <col min="26" max="26" width="9.77734375" customWidth="1"/>
    <col min="27" max="27" width="68.88671875" customWidth="1"/>
  </cols>
  <sheetData>
    <row r="1" spans="1:27" ht="19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7" ht="19.9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27" ht="19.9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4" spans="1:27" ht="19.9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27" ht="19.95" customHeight="1">
      <c r="A5" s="10"/>
      <c r="B5" s="10"/>
    </row>
    <row r="6" spans="1:27" ht="19.95" customHeight="1">
      <c r="A6" s="10"/>
      <c r="B6" s="10"/>
    </row>
    <row r="7" spans="1:27" ht="44.4" customHeight="1">
      <c r="A7" s="5" t="s">
        <v>2</v>
      </c>
      <c r="B7" s="5" t="s">
        <v>3</v>
      </c>
      <c r="C7" s="5" t="s">
        <v>4</v>
      </c>
      <c r="D7" s="5" t="s">
        <v>28</v>
      </c>
      <c r="E7" s="5" t="s">
        <v>5</v>
      </c>
      <c r="F7" s="5" t="s">
        <v>6</v>
      </c>
      <c r="G7" s="5" t="s">
        <v>7</v>
      </c>
      <c r="H7" s="6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29</v>
      </c>
      <c r="T7" s="5" t="s">
        <v>30</v>
      </c>
      <c r="U7" s="5" t="s">
        <v>31</v>
      </c>
      <c r="V7" s="5" t="s">
        <v>19</v>
      </c>
      <c r="W7" s="5" t="s">
        <v>20</v>
      </c>
      <c r="X7" s="5" t="s">
        <v>21</v>
      </c>
      <c r="Y7" s="5" t="s">
        <v>22</v>
      </c>
      <c r="Z7" s="5" t="s">
        <v>23</v>
      </c>
      <c r="AA7" s="5" t="s">
        <v>24</v>
      </c>
    </row>
    <row r="8" spans="1:27" ht="19.95" customHeight="1">
      <c r="A8" s="1" t="str">
        <f t="shared" ref="A8:B10" si="0">"A. S. Yakovlev Design Bureau OJSC"</f>
        <v>A. S. Yakovlev Design Bureau OJSC</v>
      </c>
      <c r="B8" s="2" t="str">
        <f t="shared" si="0"/>
        <v>A. S. Yakovlev Design Bureau OJSC</v>
      </c>
      <c r="C8" s="1" t="str">
        <f>"Moscow"</f>
        <v>Moscow</v>
      </c>
      <c r="D8" s="1" t="str">
        <f>""</f>
        <v/>
      </c>
      <c r="E8" s="1" t="str">
        <f>"Russia"</f>
        <v>Russia</v>
      </c>
      <c r="F8" s="1" t="str">
        <f>"MS-21-200"</f>
        <v>MS-21-200</v>
      </c>
      <c r="G8" s="1" t="s">
        <v>32</v>
      </c>
      <c r="H8" s="7" t="str">
        <f t="shared" ref="H8:H31" si="1">"2"</f>
        <v>2</v>
      </c>
      <c r="I8" s="7" t="str">
        <f>"132-174"</f>
        <v>132-174</v>
      </c>
      <c r="J8" s="7" t="str">
        <f>"117.9"</f>
        <v>117.9</v>
      </c>
      <c r="K8" s="7" t="str">
        <f>""</f>
        <v/>
      </c>
      <c r="L8" s="7" t="str">
        <f>"117.9"</f>
        <v>117.9</v>
      </c>
      <c r="M8" s="7" t="str">
        <f>"37.9"</f>
        <v>37.9</v>
      </c>
      <c r="N8" s="7" t="str">
        <f>""</f>
        <v/>
      </c>
      <c r="O8" s="7" t="str">
        <f>"149,000"</f>
        <v>149,000</v>
      </c>
      <c r="P8" s="7" t="str">
        <f>""</f>
        <v/>
      </c>
      <c r="Q8" s="7" t="str">
        <f>"1320"</f>
        <v>1320</v>
      </c>
      <c r="R8" s="1" t="str">
        <f>"2 X pd-14 OR PW1400G"</f>
        <v>2 X pd-14 OR PW1400G</v>
      </c>
      <c r="S8" s="1"/>
      <c r="T8" s="1"/>
      <c r="U8" s="1" t="e">
        <f>O8/K8</f>
        <v>#VALUE!</v>
      </c>
      <c r="V8" s="7" t="str">
        <f>""</f>
        <v/>
      </c>
      <c r="W8" s="7" t="str">
        <f>""</f>
        <v/>
      </c>
      <c r="X8" s="7" t="str">
        <f>""</f>
        <v/>
      </c>
      <c r="Y8" s="7" t="str">
        <f>""</f>
        <v/>
      </c>
      <c r="Z8" s="7" t="str">
        <f>""</f>
        <v/>
      </c>
      <c r="AA8" s="1" t="str">
        <f>""</f>
        <v/>
      </c>
    </row>
    <row r="9" spans="1:27" ht="19.95" customHeight="1">
      <c r="A9" s="3" t="str">
        <f t="shared" si="0"/>
        <v>A. S. Yakovlev Design Bureau OJSC</v>
      </c>
      <c r="B9" s="4" t="str">
        <f t="shared" si="0"/>
        <v>A. S. Yakovlev Design Bureau OJSC</v>
      </c>
      <c r="C9" s="3" t="str">
        <f>"Moscow"</f>
        <v>Moscow</v>
      </c>
      <c r="D9" s="3" t="str">
        <f>""</f>
        <v/>
      </c>
      <c r="E9" s="3" t="str">
        <f>"Russia"</f>
        <v>Russia</v>
      </c>
      <c r="F9" s="3" t="str">
        <f>"MS-21-300"</f>
        <v>MS-21-300</v>
      </c>
      <c r="G9" s="3" t="str">
        <f>"Narrow-Body Turbofans"</f>
        <v>Narrow-Body Turbofans</v>
      </c>
      <c r="H9" s="8" t="str">
        <f t="shared" si="1"/>
        <v>2</v>
      </c>
      <c r="I9" s="8" t="str">
        <f>"181-198"</f>
        <v>181-198</v>
      </c>
      <c r="J9" s="8" t="str">
        <f>"117.9"</f>
        <v>117.9</v>
      </c>
      <c r="K9" s="8" t="str">
        <f>""</f>
        <v/>
      </c>
      <c r="L9" s="8" t="str">
        <f>"136.2"</f>
        <v>136.2</v>
      </c>
      <c r="M9" s="8" t="str">
        <f>"37.9"</f>
        <v>37.9</v>
      </c>
      <c r="N9" s="8" t="str">
        <f>""</f>
        <v/>
      </c>
      <c r="O9" s="8" t="str">
        <f>"167,900"</f>
        <v>167,900</v>
      </c>
      <c r="P9" s="8" t="str">
        <f>""</f>
        <v/>
      </c>
      <c r="Q9" s="8" t="str">
        <f>"1880"</f>
        <v>1880</v>
      </c>
      <c r="R9" s="3" t="str">
        <f>"2 X pd-14 OR PW1400G"</f>
        <v>2 X pd-14 OR PW1400G</v>
      </c>
      <c r="S9" s="3"/>
      <c r="T9" s="3"/>
      <c r="U9" s="1" t="e">
        <f t="shared" ref="U9:U72" si="2">O9/K9</f>
        <v>#VALUE!</v>
      </c>
      <c r="V9" s="8" t="str">
        <f>""</f>
        <v/>
      </c>
      <c r="W9" s="8" t="str">
        <f>""</f>
        <v/>
      </c>
      <c r="X9" s="8" t="str">
        <f>""</f>
        <v/>
      </c>
      <c r="Y9" s="8" t="str">
        <f>""</f>
        <v/>
      </c>
      <c r="Z9" s="8" t="str">
        <f>""</f>
        <v/>
      </c>
      <c r="AA9" s="3" t="str">
        <f>""</f>
        <v/>
      </c>
    </row>
    <row r="10" spans="1:27" ht="19.95" customHeight="1">
      <c r="A10" s="1" t="str">
        <f t="shared" si="0"/>
        <v>A. S. Yakovlev Design Bureau OJSC</v>
      </c>
      <c r="B10" s="2" t="str">
        <f t="shared" si="0"/>
        <v>A. S. Yakovlev Design Bureau OJSC</v>
      </c>
      <c r="C10" s="1" t="str">
        <f>"Moscow"</f>
        <v>Moscow</v>
      </c>
      <c r="D10" s="1" t="str">
        <f>""</f>
        <v/>
      </c>
      <c r="E10" s="1" t="str">
        <f>"Russia"</f>
        <v>Russia</v>
      </c>
      <c r="F10" s="1" t="str">
        <f>"MS-21-400"</f>
        <v>MS-21-400</v>
      </c>
      <c r="G10" s="1" t="str">
        <f>"Narrow-Body Turbofans"</f>
        <v>Narrow-Body Turbofans</v>
      </c>
      <c r="H10" s="7" t="str">
        <f t="shared" si="1"/>
        <v>2</v>
      </c>
      <c r="I10" s="7" t="str">
        <f>"212-230"</f>
        <v>212-230</v>
      </c>
      <c r="J10" s="7" t="str">
        <f>"120.9"</f>
        <v>120.9</v>
      </c>
      <c r="K10" s="7" t="str">
        <f>""</f>
        <v/>
      </c>
      <c r="L10" s="7" t="str">
        <f>"153.3"</f>
        <v>153.3</v>
      </c>
      <c r="M10" s="7" t="str">
        <f>"41.8"</f>
        <v>41.8</v>
      </c>
      <c r="N10" s="7" t="str">
        <f>""</f>
        <v/>
      </c>
      <c r="O10" s="7" t="str">
        <f>"192,300"</f>
        <v>192,300</v>
      </c>
      <c r="P10" s="7" t="str">
        <f>""</f>
        <v/>
      </c>
      <c r="Q10" s="7" t="str">
        <f>"2480"</f>
        <v>2480</v>
      </c>
      <c r="R10" s="1" t="str">
        <f>"2 X pd-14 OR PW1400G"</f>
        <v>2 X pd-14 OR PW1400G</v>
      </c>
      <c r="S10" s="1"/>
      <c r="T10" s="1"/>
      <c r="U10" s="1" t="e">
        <f t="shared" si="2"/>
        <v>#VALUE!</v>
      </c>
      <c r="V10" s="7" t="str">
        <f>""</f>
        <v/>
      </c>
      <c r="W10" s="7" t="str">
        <f>""</f>
        <v/>
      </c>
      <c r="X10" s="7" t="str">
        <f>""</f>
        <v/>
      </c>
      <c r="Y10" s="7" t="str">
        <f>""</f>
        <v/>
      </c>
      <c r="Z10" s="7" t="str">
        <f>""</f>
        <v/>
      </c>
      <c r="AA10" s="1" t="str">
        <f>""</f>
        <v/>
      </c>
    </row>
    <row r="11" spans="1:27" ht="19.95" customHeight="1">
      <c r="A11" s="3" t="str">
        <f t="shared" ref="A11:B25" si="3">"ATR"</f>
        <v>ATR</v>
      </c>
      <c r="B11" s="4" t="str">
        <f t="shared" si="3"/>
        <v>ATR</v>
      </c>
      <c r="C11" s="3" t="str">
        <f t="shared" ref="C11:C25" si="4">"Blagnac"</f>
        <v>Blagnac</v>
      </c>
      <c r="D11" s="3" t="str">
        <f>""</f>
        <v/>
      </c>
      <c r="E11" s="3" t="str">
        <f t="shared" ref="E11:E25" si="5">"France"</f>
        <v>France</v>
      </c>
      <c r="F11" s="3" t="str">
        <f>"ATR 42-300 Basic"</f>
        <v>ATR 42-300 Basic</v>
      </c>
      <c r="G11" s="3" t="str">
        <f t="shared" ref="G11:G27" si="6">"Turboprops"</f>
        <v>Turboprops</v>
      </c>
      <c r="H11" s="8" t="str">
        <f t="shared" si="1"/>
        <v>2</v>
      </c>
      <c r="I11" s="8" t="str">
        <f t="shared" ref="I11:I16" si="7">"46-50"</f>
        <v>46-50</v>
      </c>
      <c r="J11" s="8" t="str">
        <f t="shared" ref="J11:J17" si="8">"80.6"</f>
        <v>80.6</v>
      </c>
      <c r="K11" s="8" t="str">
        <f t="shared" ref="K11:K17" si="9">"586.6"</f>
        <v>586.6</v>
      </c>
      <c r="L11" s="8" t="str">
        <f t="shared" ref="L11:L17" si="10">"74.5"</f>
        <v>74.5</v>
      </c>
      <c r="M11" s="8" t="str">
        <f t="shared" ref="M11:M17" si="11">"24.1"</f>
        <v>24.1</v>
      </c>
      <c r="N11" s="8" t="str">
        <f>"22,674"</f>
        <v>22,674</v>
      </c>
      <c r="O11" s="8" t="str">
        <f>"36,817"</f>
        <v>36,817</v>
      </c>
      <c r="P11" s="8" t="str">
        <f>"36,155"</f>
        <v>36,155</v>
      </c>
      <c r="Q11" s="8" t="str">
        <f>"10,836"</f>
        <v>10,836</v>
      </c>
      <c r="R11" s="3" t="str">
        <f>"2 X Pratt &amp; Whitney Canada PW120"</f>
        <v>2 X Pratt &amp; Whitney Canada PW120</v>
      </c>
      <c r="S11" s="3"/>
      <c r="T11" s="3"/>
      <c r="U11" s="1">
        <f t="shared" si="2"/>
        <v>62.763382202523012</v>
      </c>
      <c r="V11" s="8" t="str">
        <f>"305"</f>
        <v>305</v>
      </c>
      <c r="W11" s="8" t="str">
        <f>"305"</f>
        <v>305</v>
      </c>
      <c r="X11" s="8" t="str">
        <f>"3,575"</f>
        <v>3,575</v>
      </c>
      <c r="Y11" s="8" t="str">
        <f>"3,380"</f>
        <v>3,380</v>
      </c>
      <c r="Z11" s="8" t="str">
        <f>"562"</f>
        <v>562</v>
      </c>
      <c r="AA11" s="3" t="str">
        <f>"Out of production."</f>
        <v>Out of production.</v>
      </c>
    </row>
    <row r="12" spans="1:27" ht="19.95" customHeight="1">
      <c r="A12" s="1" t="str">
        <f t="shared" si="3"/>
        <v>ATR</v>
      </c>
      <c r="B12" s="2" t="str">
        <f t="shared" si="3"/>
        <v>ATR</v>
      </c>
      <c r="C12" s="1" t="str">
        <f t="shared" si="4"/>
        <v>Blagnac</v>
      </c>
      <c r="D12" s="1" t="str">
        <f>""</f>
        <v/>
      </c>
      <c r="E12" s="1" t="str">
        <f t="shared" si="5"/>
        <v>France</v>
      </c>
      <c r="F12" s="1" t="str">
        <f>"ATR 42-300 Increased Weight"</f>
        <v>ATR 42-300 Increased Weight</v>
      </c>
      <c r="G12" s="1" t="str">
        <f t="shared" si="6"/>
        <v>Turboprops</v>
      </c>
      <c r="H12" s="7" t="str">
        <f t="shared" si="1"/>
        <v>2</v>
      </c>
      <c r="I12" s="7" t="str">
        <f t="shared" si="7"/>
        <v>46-50</v>
      </c>
      <c r="J12" s="7" t="str">
        <f t="shared" si="8"/>
        <v>80.6</v>
      </c>
      <c r="K12" s="7" t="str">
        <f t="shared" si="9"/>
        <v>586.6</v>
      </c>
      <c r="L12" s="7" t="str">
        <f t="shared" si="10"/>
        <v>74.5</v>
      </c>
      <c r="M12" s="7" t="str">
        <f t="shared" si="11"/>
        <v>24.1</v>
      </c>
      <c r="N12" s="7" t="str">
        <f>"22,674"</f>
        <v>22,674</v>
      </c>
      <c r="O12" s="7" t="str">
        <f>"37,257"</f>
        <v>37,257</v>
      </c>
      <c r="P12" s="7" t="str">
        <f>"36,155"</f>
        <v>36,155</v>
      </c>
      <c r="Q12" s="7" t="str">
        <f>"11,585"</f>
        <v>11,585</v>
      </c>
      <c r="R12" s="1" t="str">
        <f>"2 X Pratt &amp; Whitney Canada PW120"</f>
        <v>2 X Pratt &amp; Whitney Canada PW120</v>
      </c>
      <c r="S12" s="1"/>
      <c r="T12" s="1"/>
      <c r="U12" s="1">
        <f t="shared" si="2"/>
        <v>63.513467439481758</v>
      </c>
      <c r="V12" s="7" t="str">
        <f>"305"</f>
        <v>305</v>
      </c>
      <c r="W12" s="7" t="str">
        <f>"305"</f>
        <v>305</v>
      </c>
      <c r="X12" s="7" t="str">
        <f>"3,684"</f>
        <v>3,684</v>
      </c>
      <c r="Y12" s="7" t="str">
        <f>"3,380"</f>
        <v>3,380</v>
      </c>
      <c r="Z12" s="7" t="str">
        <f>"670"</f>
        <v>670</v>
      </c>
      <c r="AA12" s="1" t="str">
        <f>"Out of production."</f>
        <v>Out of production.</v>
      </c>
    </row>
    <row r="13" spans="1:27" ht="19.95" customHeight="1">
      <c r="A13" s="3" t="str">
        <f t="shared" si="3"/>
        <v>ATR</v>
      </c>
      <c r="B13" s="4" t="str">
        <f t="shared" si="3"/>
        <v>ATR</v>
      </c>
      <c r="C13" s="3" t="str">
        <f t="shared" si="4"/>
        <v>Blagnac</v>
      </c>
      <c r="D13" s="3" t="str">
        <f>""</f>
        <v/>
      </c>
      <c r="E13" s="3" t="str">
        <f t="shared" si="5"/>
        <v>France</v>
      </c>
      <c r="F13" s="3" t="str">
        <f>"ATR 42-320 Basic"</f>
        <v>ATR 42-320 Basic</v>
      </c>
      <c r="G13" s="3" t="str">
        <f t="shared" si="6"/>
        <v>Turboprops</v>
      </c>
      <c r="H13" s="8" t="str">
        <f t="shared" si="1"/>
        <v>2</v>
      </c>
      <c r="I13" s="8" t="str">
        <f t="shared" si="7"/>
        <v>46-50</v>
      </c>
      <c r="J13" s="8" t="str">
        <f t="shared" si="8"/>
        <v>80.6</v>
      </c>
      <c r="K13" s="8" t="str">
        <f t="shared" si="9"/>
        <v>586.6</v>
      </c>
      <c r="L13" s="8" t="str">
        <f t="shared" si="10"/>
        <v>74.5</v>
      </c>
      <c r="M13" s="8" t="str">
        <f t="shared" si="11"/>
        <v>24.1</v>
      </c>
      <c r="N13" s="8" t="str">
        <f>"22,685"</f>
        <v>22,685</v>
      </c>
      <c r="O13" s="8" t="str">
        <f>"36,817"</f>
        <v>36,817</v>
      </c>
      <c r="P13" s="8" t="str">
        <f>"36,155"</f>
        <v>36,155</v>
      </c>
      <c r="Q13" s="8" t="str">
        <f>"10,825"</f>
        <v>10,825</v>
      </c>
      <c r="R13" s="3" t="str">
        <f>"2 X Pratt &amp; Whitney Canada PW121"</f>
        <v>2 X Pratt &amp; Whitney Canada PW121</v>
      </c>
      <c r="S13" s="3"/>
      <c r="T13" s="3"/>
      <c r="U13" s="1">
        <f t="shared" si="2"/>
        <v>62.763382202523012</v>
      </c>
      <c r="V13" s="8" t="str">
        <f>"310"</f>
        <v>310</v>
      </c>
      <c r="W13" s="8" t="str">
        <f>"310"</f>
        <v>310</v>
      </c>
      <c r="X13" s="8" t="str">
        <f>"3,410"</f>
        <v>3,410</v>
      </c>
      <c r="Y13" s="8" t="str">
        <f>"3,380"</f>
        <v>3,380</v>
      </c>
      <c r="Z13" s="8" t="str">
        <f>"565"</f>
        <v>565</v>
      </c>
      <c r="AA13" s="3" t="str">
        <f>"Out of production."</f>
        <v>Out of production.</v>
      </c>
    </row>
    <row r="14" spans="1:27" ht="19.95" customHeight="1">
      <c r="A14" s="1" t="str">
        <f t="shared" si="3"/>
        <v>ATR</v>
      </c>
      <c r="B14" s="2" t="str">
        <f t="shared" si="3"/>
        <v>ATR</v>
      </c>
      <c r="C14" s="1" t="str">
        <f t="shared" si="4"/>
        <v>Blagnac</v>
      </c>
      <c r="D14" s="1" t="str">
        <f>""</f>
        <v/>
      </c>
      <c r="E14" s="1" t="str">
        <f t="shared" si="5"/>
        <v>France</v>
      </c>
      <c r="F14" s="1" t="str">
        <f>"ATR 42-320 Increased Weight"</f>
        <v>ATR 42-320 Increased Weight</v>
      </c>
      <c r="G14" s="1" t="str">
        <f t="shared" si="6"/>
        <v>Turboprops</v>
      </c>
      <c r="H14" s="7" t="str">
        <f t="shared" si="1"/>
        <v>2</v>
      </c>
      <c r="I14" s="7" t="str">
        <f t="shared" si="7"/>
        <v>46-50</v>
      </c>
      <c r="J14" s="7" t="str">
        <f t="shared" si="8"/>
        <v>80.6</v>
      </c>
      <c r="K14" s="7" t="str">
        <f t="shared" si="9"/>
        <v>586.6</v>
      </c>
      <c r="L14" s="7" t="str">
        <f t="shared" si="10"/>
        <v>74.5</v>
      </c>
      <c r="M14" s="7" t="str">
        <f t="shared" si="11"/>
        <v>24.1</v>
      </c>
      <c r="N14" s="7" t="str">
        <f>"22,685"</f>
        <v>22,685</v>
      </c>
      <c r="O14" s="7" t="str">
        <f>"37,257"</f>
        <v>37,257</v>
      </c>
      <c r="P14" s="7" t="str">
        <f>"36,155"</f>
        <v>36,155</v>
      </c>
      <c r="Q14" s="7" t="str">
        <f>"11,574"</f>
        <v>11,574</v>
      </c>
      <c r="R14" s="1" t="str">
        <f>"2 X Pratt &amp; Whitney Canada PW121"</f>
        <v>2 X Pratt &amp; Whitney Canada PW121</v>
      </c>
      <c r="S14" s="1"/>
      <c r="T14" s="1"/>
      <c r="U14" s="1">
        <f t="shared" si="2"/>
        <v>63.513467439481758</v>
      </c>
      <c r="V14" s="7" t="str">
        <f>"310"</f>
        <v>310</v>
      </c>
      <c r="W14" s="7" t="str">
        <f>"310"</f>
        <v>310</v>
      </c>
      <c r="X14" s="7" t="str">
        <f>"3,504"</f>
        <v>3,504</v>
      </c>
      <c r="Y14" s="7" t="str">
        <f>"3,380"</f>
        <v>3,380</v>
      </c>
      <c r="Z14" s="7" t="str">
        <f>"677"</f>
        <v>677</v>
      </c>
      <c r="AA14" s="1" t="str">
        <f>"Out of production."</f>
        <v>Out of production.</v>
      </c>
    </row>
    <row r="15" spans="1:27" ht="19.95" customHeight="1">
      <c r="A15" s="3" t="str">
        <f t="shared" si="3"/>
        <v>ATR</v>
      </c>
      <c r="B15" s="4" t="str">
        <f t="shared" si="3"/>
        <v>ATR</v>
      </c>
      <c r="C15" s="3" t="str">
        <f t="shared" si="4"/>
        <v>Blagnac</v>
      </c>
      <c r="D15" s="3" t="str">
        <f>""</f>
        <v/>
      </c>
      <c r="E15" s="3" t="str">
        <f t="shared" si="5"/>
        <v>France</v>
      </c>
      <c r="F15" s="3" t="str">
        <f>"ATR 42-400"</f>
        <v>ATR 42-400</v>
      </c>
      <c r="G15" s="3" t="str">
        <f t="shared" si="6"/>
        <v>Turboprops</v>
      </c>
      <c r="H15" s="8" t="str">
        <f t="shared" si="1"/>
        <v>2</v>
      </c>
      <c r="I15" s="8" t="str">
        <f t="shared" si="7"/>
        <v>46-50</v>
      </c>
      <c r="J15" s="8" t="str">
        <f t="shared" si="8"/>
        <v>80.6</v>
      </c>
      <c r="K15" s="8" t="str">
        <f t="shared" si="9"/>
        <v>586.6</v>
      </c>
      <c r="L15" s="8" t="str">
        <f t="shared" si="10"/>
        <v>74.5</v>
      </c>
      <c r="M15" s="8" t="str">
        <f t="shared" si="11"/>
        <v>24.1</v>
      </c>
      <c r="N15" s="8" t="str">
        <f>"24,361"</f>
        <v>24,361</v>
      </c>
      <c r="O15" s="8" t="str">
        <f>"39,462"</f>
        <v>39,462</v>
      </c>
      <c r="P15" s="8" t="str">
        <f>"38,801"</f>
        <v>38,801</v>
      </c>
      <c r="Q15" s="8" t="str">
        <f>"11,574"</f>
        <v>11,574</v>
      </c>
      <c r="R15" s="3" t="str">
        <f>"2 X Pratt &amp; Whitney Canada PW121A"</f>
        <v>2 X Pratt &amp; Whitney Canada PW121A</v>
      </c>
      <c r="S15" s="3"/>
      <c r="T15" s="3"/>
      <c r="U15" s="1">
        <f t="shared" si="2"/>
        <v>67.272417320150012</v>
      </c>
      <c r="V15" s="8" t="str">
        <f>"300"</f>
        <v>300</v>
      </c>
      <c r="W15" s="8" t="str">
        <f>"300"</f>
        <v>300</v>
      </c>
      <c r="X15" s="8" t="str">
        <f>"3,953"</f>
        <v>3,953</v>
      </c>
      <c r="Y15" s="8" t="str">
        <f>"3,675"</f>
        <v>3,675</v>
      </c>
      <c r="Z15" s="8" t="str">
        <f>"949"</f>
        <v>949</v>
      </c>
      <c r="AA15" s="3" t="str">
        <f>"Out of production."</f>
        <v>Out of production.</v>
      </c>
    </row>
    <row r="16" spans="1:27" ht="19.95" customHeight="1">
      <c r="A16" s="1" t="str">
        <f t="shared" si="3"/>
        <v>ATR</v>
      </c>
      <c r="B16" s="2" t="str">
        <f t="shared" si="3"/>
        <v>ATR</v>
      </c>
      <c r="C16" s="1" t="str">
        <f t="shared" si="4"/>
        <v>Blagnac</v>
      </c>
      <c r="D16" s="1" t="str">
        <f>""</f>
        <v/>
      </c>
      <c r="E16" s="1" t="str">
        <f t="shared" si="5"/>
        <v>France</v>
      </c>
      <c r="F16" s="1" t="str">
        <f>"ATR 42-500"</f>
        <v>ATR 42-500</v>
      </c>
      <c r="G16" s="1" t="str">
        <f t="shared" si="6"/>
        <v>Turboprops</v>
      </c>
      <c r="H16" s="7" t="str">
        <f t="shared" si="1"/>
        <v>2</v>
      </c>
      <c r="I16" s="7" t="str">
        <f t="shared" si="7"/>
        <v>46-50</v>
      </c>
      <c r="J16" s="7" t="str">
        <f t="shared" si="8"/>
        <v>80.6</v>
      </c>
      <c r="K16" s="7" t="str">
        <f t="shared" si="9"/>
        <v>586.6</v>
      </c>
      <c r="L16" s="7" t="str">
        <f t="shared" si="10"/>
        <v>74.5</v>
      </c>
      <c r="M16" s="7" t="str">
        <f t="shared" si="11"/>
        <v>24.1</v>
      </c>
      <c r="N16" s="7" t="str">
        <f>"24,800"</f>
        <v>24,800</v>
      </c>
      <c r="O16" s="7" t="str">
        <f>"41,005"</f>
        <v>41,005</v>
      </c>
      <c r="P16" s="7" t="str">
        <f>"40,344"</f>
        <v>40,344</v>
      </c>
      <c r="Q16" s="7" t="str">
        <f>"12,015"</f>
        <v>12,015</v>
      </c>
      <c r="R16" s="1" t="str">
        <f>"2 X Pratt &amp; Whitney Canada PW127E"</f>
        <v>2 X Pratt &amp; Whitney Canada PW127E</v>
      </c>
      <c r="S16" s="1"/>
      <c r="T16" s="1"/>
      <c r="U16" s="1">
        <f t="shared" si="2"/>
        <v>69.902829867030349</v>
      </c>
      <c r="V16" s="7" t="str">
        <f>"345"</f>
        <v>345</v>
      </c>
      <c r="W16" s="7" t="str">
        <f>"345"</f>
        <v>345</v>
      </c>
      <c r="X16" s="7" t="str">
        <f>"3,822"</f>
        <v>3,822</v>
      </c>
      <c r="Y16" s="7" t="str">
        <f>"3,694"</f>
        <v>3,694</v>
      </c>
      <c r="Z16" s="7" t="str">
        <f>"966"</f>
        <v>966</v>
      </c>
      <c r="AA16" s="1" t="str">
        <f>""</f>
        <v/>
      </c>
    </row>
    <row r="17" spans="1:27" ht="19.95" customHeight="1">
      <c r="A17" s="3" t="str">
        <f t="shared" si="3"/>
        <v>ATR</v>
      </c>
      <c r="B17" s="4" t="str">
        <f t="shared" si="3"/>
        <v>ATR</v>
      </c>
      <c r="C17" s="3" t="str">
        <f t="shared" si="4"/>
        <v>Blagnac</v>
      </c>
      <c r="D17" s="3" t="str">
        <f>""</f>
        <v/>
      </c>
      <c r="E17" s="3" t="str">
        <f t="shared" si="5"/>
        <v>France</v>
      </c>
      <c r="F17" s="3" t="str">
        <f>"ATR 42-600"</f>
        <v>ATR 42-600</v>
      </c>
      <c r="G17" s="3" t="str">
        <f t="shared" si="6"/>
        <v>Turboprops</v>
      </c>
      <c r="H17" s="8" t="str">
        <f t="shared" si="1"/>
        <v>2</v>
      </c>
      <c r="I17" s="8" t="str">
        <f>"48-50"</f>
        <v>48-50</v>
      </c>
      <c r="J17" s="8" t="str">
        <f t="shared" si="8"/>
        <v>80.6</v>
      </c>
      <c r="K17" s="8" t="str">
        <f t="shared" si="9"/>
        <v>586.6</v>
      </c>
      <c r="L17" s="8" t="str">
        <f t="shared" si="10"/>
        <v>74.5</v>
      </c>
      <c r="M17" s="8" t="str">
        <f t="shared" si="11"/>
        <v>24.1</v>
      </c>
      <c r="N17" s="8" t="str">
        <f>"24,912"</f>
        <v>24,912</v>
      </c>
      <c r="O17" s="8" t="str">
        <f>"41,005"</f>
        <v>41,005</v>
      </c>
      <c r="P17" s="8" t="str">
        <f>"40,344"</f>
        <v>40,344</v>
      </c>
      <c r="Q17" s="8" t="str">
        <f>"11,905"</f>
        <v>11,905</v>
      </c>
      <c r="R17" s="3" t="str">
        <f>"2 X Pratt &amp; Whitney Canada PW127M"</f>
        <v>2 X Pratt &amp; Whitney Canada PW127M</v>
      </c>
      <c r="S17" s="3"/>
      <c r="T17" s="3"/>
      <c r="U17" s="1">
        <f t="shared" si="2"/>
        <v>69.902829867030349</v>
      </c>
      <c r="V17" s="8" t="str">
        <f>"345"</f>
        <v>345</v>
      </c>
      <c r="W17" s="8" t="str">
        <f>"345"</f>
        <v>345</v>
      </c>
      <c r="X17" s="8" t="str">
        <f>"3,822"</f>
        <v>3,822</v>
      </c>
      <c r="Y17" s="8" t="str">
        <f>"3,694"</f>
        <v>3,694</v>
      </c>
      <c r="Z17" s="8" t="str">
        <f>"969"</f>
        <v>969</v>
      </c>
      <c r="AA17" s="3" t="str">
        <f>"In development. Entry into service 2011."</f>
        <v>In development. Entry into service 2011.</v>
      </c>
    </row>
    <row r="18" spans="1:27" ht="19.95" customHeight="1">
      <c r="A18" s="1" t="str">
        <f t="shared" si="3"/>
        <v>ATR</v>
      </c>
      <c r="B18" s="2" t="str">
        <f t="shared" si="3"/>
        <v>ATR</v>
      </c>
      <c r="C18" s="1" t="str">
        <f t="shared" si="4"/>
        <v>Blagnac</v>
      </c>
      <c r="D18" s="1" t="str">
        <f>""</f>
        <v/>
      </c>
      <c r="E18" s="1" t="str">
        <f t="shared" si="5"/>
        <v>France</v>
      </c>
      <c r="F18" s="1" t="str">
        <f>"ATR 72-200 Basic"</f>
        <v>ATR 72-200 Basic</v>
      </c>
      <c r="G18" s="1" t="str">
        <f t="shared" si="6"/>
        <v>Turboprops</v>
      </c>
      <c r="H18" s="7" t="str">
        <f t="shared" si="1"/>
        <v>2</v>
      </c>
      <c r="I18" s="7" t="str">
        <f>"64-72"</f>
        <v>64-72</v>
      </c>
      <c r="J18" s="7" t="str">
        <f t="shared" ref="J18:J25" si="12">"88.9"</f>
        <v>88.9</v>
      </c>
      <c r="K18" s="7" t="str">
        <f t="shared" ref="K18:K25" si="13">"656.6"</f>
        <v>656.6</v>
      </c>
      <c r="L18" s="7" t="str">
        <f t="shared" ref="L18:L25" si="14">"89.1"</f>
        <v>89.1</v>
      </c>
      <c r="M18" s="7" t="str">
        <f t="shared" ref="M18:M25" si="15">"25.1"</f>
        <v>25.1</v>
      </c>
      <c r="N18" s="7" t="str">
        <f>"27,337"</f>
        <v>27,337</v>
      </c>
      <c r="O18" s="7" t="str">
        <f>"47,400"</f>
        <v>47,400</v>
      </c>
      <c r="P18" s="7" t="str">
        <f>"47,068"</f>
        <v>47,068</v>
      </c>
      <c r="Q18" s="7" t="str">
        <f>"16,094"</f>
        <v>16,094</v>
      </c>
      <c r="R18" s="1" t="str">
        <f>"2 X Pratt &amp; Whitney Canada PW124B"</f>
        <v>2 X Pratt &amp; Whitney Canada PW124B</v>
      </c>
      <c r="S18" s="1"/>
      <c r="T18" s="1"/>
      <c r="U18" s="1">
        <f t="shared" si="2"/>
        <v>72.190070057873896</v>
      </c>
      <c r="V18" s="7" t="str">
        <f>"319"</f>
        <v>319</v>
      </c>
      <c r="W18" s="7" t="str">
        <f>"319"</f>
        <v>319</v>
      </c>
      <c r="X18" s="7" t="str">
        <f>"4,625"</f>
        <v>4,625</v>
      </c>
      <c r="Y18" s="7" t="str">
        <f>"3,960"</f>
        <v>3,960</v>
      </c>
      <c r="Z18" s="7" t="str">
        <f>"886"</f>
        <v>886</v>
      </c>
      <c r="AA18" s="1" t="str">
        <f>"Out of production."</f>
        <v>Out of production.</v>
      </c>
    </row>
    <row r="19" spans="1:27" ht="19.95" customHeight="1">
      <c r="A19" s="3" t="str">
        <f t="shared" si="3"/>
        <v>ATR</v>
      </c>
      <c r="B19" s="4" t="str">
        <f t="shared" si="3"/>
        <v>ATR</v>
      </c>
      <c r="C19" s="3" t="str">
        <f t="shared" si="4"/>
        <v>Blagnac</v>
      </c>
      <c r="D19" s="3" t="str">
        <f>""</f>
        <v/>
      </c>
      <c r="E19" s="3" t="str">
        <f t="shared" si="5"/>
        <v>France</v>
      </c>
      <c r="F19" s="3" t="str">
        <f>"ATR 72-200 Increased Weight"</f>
        <v>ATR 72-200 Increased Weight</v>
      </c>
      <c r="G19" s="3" t="str">
        <f t="shared" si="6"/>
        <v>Turboprops</v>
      </c>
      <c r="H19" s="8" t="str">
        <f t="shared" si="1"/>
        <v>2</v>
      </c>
      <c r="I19" s="8" t="str">
        <f>"64-72"</f>
        <v>64-72</v>
      </c>
      <c r="J19" s="8" t="str">
        <f t="shared" si="12"/>
        <v>88.9</v>
      </c>
      <c r="K19" s="8" t="str">
        <f t="shared" si="13"/>
        <v>656.6</v>
      </c>
      <c r="L19" s="8" t="str">
        <f t="shared" si="14"/>
        <v>89.1</v>
      </c>
      <c r="M19" s="8" t="str">
        <f t="shared" si="15"/>
        <v>25.1</v>
      </c>
      <c r="N19" s="8" t="str">
        <f>"27,337"</f>
        <v>27,337</v>
      </c>
      <c r="O19" s="8" t="str">
        <f>"48,500"</f>
        <v>48,500</v>
      </c>
      <c r="P19" s="8" t="str">
        <f>"47,068"</f>
        <v>47,068</v>
      </c>
      <c r="Q19" s="8" t="str">
        <f>"16,755"</f>
        <v>16,755</v>
      </c>
      <c r="R19" s="3" t="str">
        <f>"2 X Pratt &amp; Whitney Canada PW124B"</f>
        <v>2 X Pratt &amp; Whitney Canada PW124B</v>
      </c>
      <c r="S19" s="3"/>
      <c r="T19" s="3"/>
      <c r="U19" s="1">
        <f t="shared" si="2"/>
        <v>73.865367042339315</v>
      </c>
      <c r="V19" s="8" t="str">
        <f>"319"</f>
        <v>319</v>
      </c>
      <c r="W19" s="8" t="str">
        <f>"319"</f>
        <v>319</v>
      </c>
      <c r="X19" s="8" t="str">
        <f>"4,941"</f>
        <v>4,941</v>
      </c>
      <c r="Y19" s="8" t="str">
        <f>"3,960"</f>
        <v>3,960</v>
      </c>
      <c r="Z19" s="8" t="str">
        <f>"1,105"</f>
        <v>1,105</v>
      </c>
      <c r="AA19" s="3" t="str">
        <f>"Out of production."</f>
        <v>Out of production.</v>
      </c>
    </row>
    <row r="20" spans="1:27" ht="19.95" customHeight="1">
      <c r="A20" s="1" t="str">
        <f t="shared" si="3"/>
        <v>ATR</v>
      </c>
      <c r="B20" s="2" t="str">
        <f t="shared" si="3"/>
        <v>ATR</v>
      </c>
      <c r="C20" s="1" t="str">
        <f t="shared" si="4"/>
        <v>Blagnac</v>
      </c>
      <c r="D20" s="1" t="str">
        <f>""</f>
        <v/>
      </c>
      <c r="E20" s="1" t="str">
        <f t="shared" si="5"/>
        <v>France</v>
      </c>
      <c r="F20" s="1" t="str">
        <f>"ATR 72-210 Basic"</f>
        <v>ATR 72-210 Basic</v>
      </c>
      <c r="G20" s="1" t="str">
        <f t="shared" si="6"/>
        <v>Turboprops</v>
      </c>
      <c r="H20" s="7" t="str">
        <f t="shared" si="1"/>
        <v>2</v>
      </c>
      <c r="I20" s="7" t="str">
        <f>"64-72"</f>
        <v>64-72</v>
      </c>
      <c r="J20" s="7" t="str">
        <f t="shared" si="12"/>
        <v>88.9</v>
      </c>
      <c r="K20" s="7" t="str">
        <f t="shared" si="13"/>
        <v>656.6</v>
      </c>
      <c r="L20" s="7" t="str">
        <f t="shared" si="14"/>
        <v>89.1</v>
      </c>
      <c r="M20" s="7" t="str">
        <f t="shared" si="15"/>
        <v>25.1</v>
      </c>
      <c r="N20" s="7" t="str">
        <f>"27,447"</f>
        <v>27,447</v>
      </c>
      <c r="O20" s="7" t="str">
        <f>"47,400"</f>
        <v>47,400</v>
      </c>
      <c r="P20" s="7" t="str">
        <f>"47,068"</f>
        <v>47,068</v>
      </c>
      <c r="Q20" s="7" t="str">
        <f>"15,983"</f>
        <v>15,983</v>
      </c>
      <c r="R20" s="1" t="str">
        <f>"2 X Pratt &amp; Whitney Canada PW127"</f>
        <v>2 X Pratt &amp; Whitney Canada PW127</v>
      </c>
      <c r="S20" s="1"/>
      <c r="T20" s="1"/>
      <c r="U20" s="1">
        <f t="shared" si="2"/>
        <v>72.190070057873896</v>
      </c>
      <c r="V20" s="7" t="str">
        <f>"321"</f>
        <v>321</v>
      </c>
      <c r="W20" s="7" t="str">
        <f>"321"</f>
        <v>321</v>
      </c>
      <c r="X20" s="7" t="str">
        <f>"3,970"</f>
        <v>3,970</v>
      </c>
      <c r="Y20" s="7" t="str">
        <f>"3,440"</f>
        <v>3,440</v>
      </c>
      <c r="Z20" s="7" t="str">
        <f>"785"</f>
        <v>785</v>
      </c>
      <c r="AA20" s="1" t="str">
        <f>"Out of production."</f>
        <v>Out of production.</v>
      </c>
    </row>
    <row r="21" spans="1:27" ht="19.95" customHeight="1">
      <c r="A21" s="3" t="str">
        <f t="shared" si="3"/>
        <v>ATR</v>
      </c>
      <c r="B21" s="4" t="str">
        <f t="shared" si="3"/>
        <v>ATR</v>
      </c>
      <c r="C21" s="3" t="str">
        <f t="shared" si="4"/>
        <v>Blagnac</v>
      </c>
      <c r="D21" s="3" t="str">
        <f>""</f>
        <v/>
      </c>
      <c r="E21" s="3" t="str">
        <f t="shared" si="5"/>
        <v>France</v>
      </c>
      <c r="F21" s="3" t="str">
        <f>"ATR 72-210 Increased Weight"</f>
        <v>ATR 72-210 Increased Weight</v>
      </c>
      <c r="G21" s="3" t="str">
        <f t="shared" si="6"/>
        <v>Turboprops</v>
      </c>
      <c r="H21" s="8" t="str">
        <f t="shared" si="1"/>
        <v>2</v>
      </c>
      <c r="I21" s="8" t="str">
        <f>"64-72"</f>
        <v>64-72</v>
      </c>
      <c r="J21" s="8" t="str">
        <f t="shared" si="12"/>
        <v>88.9</v>
      </c>
      <c r="K21" s="8" t="str">
        <f t="shared" si="13"/>
        <v>656.6</v>
      </c>
      <c r="L21" s="8" t="str">
        <f t="shared" si="14"/>
        <v>89.1</v>
      </c>
      <c r="M21" s="8" t="str">
        <f t="shared" si="15"/>
        <v>25.1</v>
      </c>
      <c r="N21" s="8" t="str">
        <f>"27,447"</f>
        <v>27,447</v>
      </c>
      <c r="O21" s="8" t="str">
        <f>"48,500"</f>
        <v>48,500</v>
      </c>
      <c r="P21" s="8" t="str">
        <f>"47,068"</f>
        <v>47,068</v>
      </c>
      <c r="Q21" s="8" t="str">
        <f>"16,645"</f>
        <v>16,645</v>
      </c>
      <c r="R21" s="3" t="str">
        <f>"2 X Pratt &amp; Whitney Canada PW127"</f>
        <v>2 X Pratt &amp; Whitney Canada PW127</v>
      </c>
      <c r="S21" s="3"/>
      <c r="T21" s="3"/>
      <c r="U21" s="1">
        <f t="shared" si="2"/>
        <v>73.865367042339315</v>
      </c>
      <c r="V21" s="8" t="str">
        <f>"321"</f>
        <v>321</v>
      </c>
      <c r="W21" s="8" t="str">
        <f>"321"</f>
        <v>321</v>
      </c>
      <c r="X21" s="8" t="str">
        <f>"4,232"</f>
        <v>4,232</v>
      </c>
      <c r="Y21" s="8" t="str">
        <f>"3,440"</f>
        <v>3,440</v>
      </c>
      <c r="Z21" s="8" t="str">
        <f>"992"</f>
        <v>992</v>
      </c>
      <c r="AA21" s="3" t="str">
        <f>"Out of production."</f>
        <v>Out of production.</v>
      </c>
    </row>
    <row r="22" spans="1:27" ht="19.95" customHeight="1">
      <c r="A22" s="1" t="str">
        <f t="shared" si="3"/>
        <v>ATR</v>
      </c>
      <c r="B22" s="2" t="str">
        <f t="shared" si="3"/>
        <v>ATR</v>
      </c>
      <c r="C22" s="1" t="str">
        <f t="shared" si="4"/>
        <v>Blagnac</v>
      </c>
      <c r="D22" s="1" t="str">
        <f>""</f>
        <v/>
      </c>
      <c r="E22" s="1" t="str">
        <f t="shared" si="5"/>
        <v>France</v>
      </c>
      <c r="F22" s="1" t="str">
        <f>"ATR 72-500 Basic"</f>
        <v>ATR 72-500 Basic</v>
      </c>
      <c r="G22" s="1" t="str">
        <f t="shared" si="6"/>
        <v>Turboprops</v>
      </c>
      <c r="H22" s="7" t="str">
        <f t="shared" si="1"/>
        <v>2</v>
      </c>
      <c r="I22" s="7" t="str">
        <f>"64-74"</f>
        <v>64-74</v>
      </c>
      <c r="J22" s="7" t="str">
        <f t="shared" si="12"/>
        <v>88.9</v>
      </c>
      <c r="K22" s="7" t="str">
        <f t="shared" si="13"/>
        <v>656.6</v>
      </c>
      <c r="L22" s="7" t="str">
        <f t="shared" si="14"/>
        <v>89.1</v>
      </c>
      <c r="M22" s="7" t="str">
        <f t="shared" si="15"/>
        <v>25.1</v>
      </c>
      <c r="N22" s="7" t="str">
        <f>"28,549"</f>
        <v>28,549</v>
      </c>
      <c r="O22" s="7" t="str">
        <f>"48,500"</f>
        <v>48,500</v>
      </c>
      <c r="P22" s="7" t="str">
        <f>"48,170"</f>
        <v>48,170</v>
      </c>
      <c r="Q22" s="7" t="str">
        <f>"15,543"</f>
        <v>15,543</v>
      </c>
      <c r="R22" s="1" t="str">
        <f>"2 X Pratt &amp; Whitney Canada PW127F"</f>
        <v>2 X Pratt &amp; Whitney Canada PW127F</v>
      </c>
      <c r="S22" s="1"/>
      <c r="T22" s="1"/>
      <c r="U22" s="1">
        <f t="shared" si="2"/>
        <v>73.865367042339315</v>
      </c>
      <c r="V22" s="7" t="str">
        <f t="shared" ref="V22:W25" si="16">"318"</f>
        <v>318</v>
      </c>
      <c r="W22" s="7" t="str">
        <f t="shared" si="16"/>
        <v>318</v>
      </c>
      <c r="X22" s="7" t="str">
        <f>"4,012"</f>
        <v>4,012</v>
      </c>
      <c r="Y22" s="7" t="str">
        <f>"3,438"</f>
        <v>3,438</v>
      </c>
      <c r="Z22" s="7" t="str">
        <f>"822"</f>
        <v>822</v>
      </c>
      <c r="AA22" s="1" t="str">
        <f>""</f>
        <v/>
      </c>
    </row>
    <row r="23" spans="1:27" ht="19.95" customHeight="1">
      <c r="A23" s="3" t="str">
        <f t="shared" si="3"/>
        <v>ATR</v>
      </c>
      <c r="B23" s="4" t="str">
        <f t="shared" si="3"/>
        <v>ATR</v>
      </c>
      <c r="C23" s="3" t="str">
        <f t="shared" si="4"/>
        <v>Blagnac</v>
      </c>
      <c r="D23" s="3" t="str">
        <f>""</f>
        <v/>
      </c>
      <c r="E23" s="3" t="str">
        <f t="shared" si="5"/>
        <v>France</v>
      </c>
      <c r="F23" s="3" t="str">
        <f>"ATR 72-500 Increased Weight"</f>
        <v>ATR 72-500 Increased Weight</v>
      </c>
      <c r="G23" s="3" t="str">
        <f t="shared" si="6"/>
        <v>Turboprops</v>
      </c>
      <c r="H23" s="8" t="str">
        <f t="shared" si="1"/>
        <v>2</v>
      </c>
      <c r="I23" s="8" t="str">
        <f>"64-74"</f>
        <v>64-74</v>
      </c>
      <c r="J23" s="8" t="str">
        <f t="shared" si="12"/>
        <v>88.9</v>
      </c>
      <c r="K23" s="8" t="str">
        <f t="shared" si="13"/>
        <v>656.6</v>
      </c>
      <c r="L23" s="8" t="str">
        <f t="shared" si="14"/>
        <v>89.1</v>
      </c>
      <c r="M23" s="8" t="str">
        <f t="shared" si="15"/>
        <v>25.1</v>
      </c>
      <c r="N23" s="8" t="str">
        <f>"28,549"</f>
        <v>28,549</v>
      </c>
      <c r="O23" s="8" t="str">
        <f>"50,265"</f>
        <v>50,265</v>
      </c>
      <c r="P23" s="8" t="str">
        <f>"49,273"</f>
        <v>49,273</v>
      </c>
      <c r="Q23" s="8" t="str">
        <f>"17,306"</f>
        <v>17,306</v>
      </c>
      <c r="R23" s="3" t="str">
        <f>"2 X Pratt &amp; Whitney Canada PW127F"</f>
        <v>2 X Pratt &amp; Whitney Canada PW127F</v>
      </c>
      <c r="S23" s="3"/>
      <c r="T23" s="3"/>
      <c r="U23" s="1">
        <f t="shared" si="2"/>
        <v>76.553457203777029</v>
      </c>
      <c r="V23" s="8" t="str">
        <f t="shared" si="16"/>
        <v>318</v>
      </c>
      <c r="W23" s="8" t="str">
        <f t="shared" si="16"/>
        <v>318</v>
      </c>
      <c r="X23" s="8" t="str">
        <f>"4,373"</f>
        <v>4,373</v>
      </c>
      <c r="Y23" s="8" t="str">
        <f>"3,500"</f>
        <v>3,500</v>
      </c>
      <c r="Z23" s="8" t="str">
        <f>"1,140"</f>
        <v>1,140</v>
      </c>
      <c r="AA23" s="3" t="str">
        <f>""</f>
        <v/>
      </c>
    </row>
    <row r="24" spans="1:27" ht="19.95" customHeight="1">
      <c r="A24" s="1" t="str">
        <f t="shared" si="3"/>
        <v>ATR</v>
      </c>
      <c r="B24" s="2" t="str">
        <f t="shared" si="3"/>
        <v>ATR</v>
      </c>
      <c r="C24" s="1" t="str">
        <f t="shared" si="4"/>
        <v>Blagnac</v>
      </c>
      <c r="D24" s="1" t="str">
        <f>""</f>
        <v/>
      </c>
      <c r="E24" s="1" t="str">
        <f t="shared" si="5"/>
        <v>France</v>
      </c>
      <c r="F24" s="1" t="str">
        <f>"ATR 72-600"</f>
        <v>ATR 72-600</v>
      </c>
      <c r="G24" s="1" t="str">
        <f t="shared" si="6"/>
        <v>Turboprops</v>
      </c>
      <c r="H24" s="7" t="str">
        <f t="shared" si="1"/>
        <v>2</v>
      </c>
      <c r="I24" s="7" t="str">
        <f>"68-74"</f>
        <v>68-74</v>
      </c>
      <c r="J24" s="7" t="str">
        <f t="shared" si="12"/>
        <v>88.9</v>
      </c>
      <c r="K24" s="7" t="str">
        <f t="shared" si="13"/>
        <v>656.6</v>
      </c>
      <c r="L24" s="7" t="str">
        <f t="shared" si="14"/>
        <v>89.1</v>
      </c>
      <c r="M24" s="7" t="str">
        <f t="shared" si="15"/>
        <v>25.1</v>
      </c>
      <c r="N24" s="7" t="str">
        <f>"28,682"</f>
        <v>28,682</v>
      </c>
      <c r="O24" s="7" t="str">
        <f>"50,265"</f>
        <v>50,265</v>
      </c>
      <c r="P24" s="7" t="str">
        <f>"49,273"</f>
        <v>49,273</v>
      </c>
      <c r="Q24" s="7" t="str">
        <f>"17,173"</f>
        <v>17,173</v>
      </c>
      <c r="R24" s="1" t="str">
        <f>"2 X Pratt &amp; Whitney Canada PW127M"</f>
        <v>2 X Pratt &amp; Whitney Canada PW127M</v>
      </c>
      <c r="S24" s="1"/>
      <c r="T24" s="1"/>
      <c r="U24" s="1">
        <f t="shared" si="2"/>
        <v>76.553457203777029</v>
      </c>
      <c r="V24" s="7" t="str">
        <f t="shared" si="16"/>
        <v>318</v>
      </c>
      <c r="W24" s="7" t="str">
        <f t="shared" si="16"/>
        <v>318</v>
      </c>
      <c r="X24" s="7" t="str">
        <f>"4,373"</f>
        <v>4,373</v>
      </c>
      <c r="Y24" s="7" t="str">
        <f>"3,500"</f>
        <v>3,500</v>
      </c>
      <c r="Z24" s="7" t="str">
        <f>"1,140"</f>
        <v>1,140</v>
      </c>
      <c r="AA24" s="1" t="str">
        <f>"In development. Entry into service 2011."</f>
        <v>In development. Entry into service 2011.</v>
      </c>
    </row>
    <row r="25" spans="1:27" ht="19.95" customHeight="1">
      <c r="A25" s="3" t="str">
        <f t="shared" si="3"/>
        <v>ATR</v>
      </c>
      <c r="B25" s="4" t="str">
        <f t="shared" si="3"/>
        <v>ATR</v>
      </c>
      <c r="C25" s="3" t="str">
        <f t="shared" si="4"/>
        <v>Blagnac</v>
      </c>
      <c r="D25" s="3" t="str">
        <f>""</f>
        <v/>
      </c>
      <c r="E25" s="3" t="str">
        <f t="shared" si="5"/>
        <v>France</v>
      </c>
      <c r="F25" s="3" t="str">
        <f>"ATR 72-600 Increased Weight"</f>
        <v>ATR 72-600 Increased Weight</v>
      </c>
      <c r="G25" s="3" t="str">
        <f t="shared" si="6"/>
        <v>Turboprops</v>
      </c>
      <c r="H25" s="8" t="str">
        <f t="shared" si="1"/>
        <v>2</v>
      </c>
      <c r="I25" s="8" t="str">
        <f>"68-74"</f>
        <v>68-74</v>
      </c>
      <c r="J25" s="8" t="str">
        <f t="shared" si="12"/>
        <v>88.9</v>
      </c>
      <c r="K25" s="8" t="str">
        <f t="shared" si="13"/>
        <v>656.6</v>
      </c>
      <c r="L25" s="8" t="str">
        <f t="shared" si="14"/>
        <v>89.1</v>
      </c>
      <c r="M25" s="8" t="str">
        <f t="shared" si="15"/>
        <v>25.1</v>
      </c>
      <c r="N25" s="8" t="str">
        <f>"28,682"</f>
        <v>28,682</v>
      </c>
      <c r="O25" s="8" t="str">
        <f>"50,705"</f>
        <v>50,705</v>
      </c>
      <c r="P25" s="8" t="str">
        <f>"49,273"</f>
        <v>49,273</v>
      </c>
      <c r="Q25" s="8" t="str">
        <f>"17,615"</f>
        <v>17,615</v>
      </c>
      <c r="R25" s="3" t="str">
        <f>"2 X PWC PW127M"</f>
        <v>2 X PWC PW127M</v>
      </c>
      <c r="S25" s="3"/>
      <c r="T25" s="3"/>
      <c r="U25" s="1">
        <f t="shared" si="2"/>
        <v>77.223575997563202</v>
      </c>
      <c r="V25" s="8" t="str">
        <f t="shared" si="16"/>
        <v>318</v>
      </c>
      <c r="W25" s="8" t="str">
        <f t="shared" si="16"/>
        <v>318</v>
      </c>
      <c r="X25" s="8" t="str">
        <f>"4,485"</f>
        <v>4,485</v>
      </c>
      <c r="Y25" s="8" t="str">
        <f>"3,500"</f>
        <v>3,500</v>
      </c>
      <c r="Z25" s="8" t="str">
        <f>"1,220"</f>
        <v>1,220</v>
      </c>
      <c r="AA25" s="3" t="str">
        <f>"In development. Entry into service 2011."</f>
        <v>In development. Entry into service 2011.</v>
      </c>
    </row>
    <row r="26" spans="1:27" ht="19.95" customHeight="1">
      <c r="A26" s="1" t="str">
        <f>"Airbus Military"</f>
        <v>Airbus Military</v>
      </c>
      <c r="B26" s="2" t="str">
        <f>"Airbus Military"</f>
        <v>Airbus Military</v>
      </c>
      <c r="C26" s="1" t="str">
        <f>"Madrid"</f>
        <v>Madrid</v>
      </c>
      <c r="D26" s="1" t="str">
        <f>""</f>
        <v/>
      </c>
      <c r="E26" s="1" t="str">
        <f>"Spain"</f>
        <v>Spain</v>
      </c>
      <c r="F26" s="1" t="str">
        <f>"C212-400"</f>
        <v>C212-400</v>
      </c>
      <c r="G26" s="1" t="str">
        <f t="shared" si="6"/>
        <v>Turboprops</v>
      </c>
      <c r="H26" s="7" t="str">
        <f t="shared" si="1"/>
        <v>2</v>
      </c>
      <c r="I26" s="7" t="str">
        <f>"28"</f>
        <v>28</v>
      </c>
      <c r="J26" s="7" t="str">
        <f>"66.6"</f>
        <v>66.6</v>
      </c>
      <c r="K26" s="7" t="str">
        <f>"430.5"</f>
        <v>430.5</v>
      </c>
      <c r="L26" s="7" t="str">
        <f>"52.11"</f>
        <v>52.11</v>
      </c>
      <c r="M26" s="7" t="str">
        <f>"21.7"</f>
        <v>21.7</v>
      </c>
      <c r="N26" s="7" t="str">
        <f>""</f>
        <v/>
      </c>
      <c r="O26" s="7" t="str">
        <f>"16,980"</f>
        <v>16,980</v>
      </c>
      <c r="P26" s="7" t="str">
        <f>"16,420"</f>
        <v>16,420</v>
      </c>
      <c r="Q26" s="7" t="str">
        <f>"6,137"</f>
        <v>6,137</v>
      </c>
      <c r="R26" s="1" t="str">
        <f>"2 X Honeywell TPE 331-12JR"</f>
        <v>2 X Honeywell TPE 331-12JR</v>
      </c>
      <c r="S26" s="1"/>
      <c r="T26" s="1"/>
      <c r="U26" s="1">
        <f t="shared" si="2"/>
        <v>39.442508710801391</v>
      </c>
      <c r="V26" s="7" t="str">
        <f>"195"</f>
        <v>195</v>
      </c>
      <c r="W26" s="7" t="str">
        <f>"161"</f>
        <v>161</v>
      </c>
      <c r="X26" s="7" t="str">
        <f>"2,568"</f>
        <v>2,568</v>
      </c>
      <c r="Y26" s="7" t="str">
        <f>"1,727"</f>
        <v>1,727</v>
      </c>
      <c r="Z26" s="7" t="str">
        <f>""</f>
        <v/>
      </c>
      <c r="AA26" s="1" t="str">
        <f>"Over 470 C-212-400s in service worldwide."</f>
        <v>Over 470 C-212-400s in service worldwide.</v>
      </c>
    </row>
    <row r="27" spans="1:27" ht="19.95" customHeight="1">
      <c r="A27" s="3" t="str">
        <f>"Airbus Military"</f>
        <v>Airbus Military</v>
      </c>
      <c r="B27" s="4" t="str">
        <f>"Airbus Military"</f>
        <v>Airbus Military</v>
      </c>
      <c r="C27" s="3" t="str">
        <f>"Madrid"</f>
        <v>Madrid</v>
      </c>
      <c r="D27" s="3" t="str">
        <f>""</f>
        <v/>
      </c>
      <c r="E27" s="3" t="str">
        <f>"Spain"</f>
        <v>Spain</v>
      </c>
      <c r="F27" s="3" t="str">
        <f>"CN235-300"</f>
        <v>CN235-300</v>
      </c>
      <c r="G27" s="3" t="str">
        <f t="shared" si="6"/>
        <v>Turboprops</v>
      </c>
      <c r="H27" s="8" t="str">
        <f t="shared" si="1"/>
        <v>2</v>
      </c>
      <c r="I27" s="8" t="str">
        <f>"44"</f>
        <v>44</v>
      </c>
      <c r="J27" s="8" t="str">
        <f>"84.8"</f>
        <v>84.8</v>
      </c>
      <c r="K27" s="8" t="str">
        <f>"646"</f>
        <v>646</v>
      </c>
      <c r="L27" s="8" t="str">
        <f>"70.2"</f>
        <v>70.2</v>
      </c>
      <c r="M27" s="8" t="str">
        <f>"26.1"</f>
        <v>26.1</v>
      </c>
      <c r="N27" s="8" t="str">
        <f>""</f>
        <v/>
      </c>
      <c r="O27" s="8" t="str">
        <f>"34,830"</f>
        <v>34,830</v>
      </c>
      <c r="P27" s="8" t="str">
        <f>"34,390"</f>
        <v>34,390</v>
      </c>
      <c r="Q27" s="8" t="str">
        <f>"12,658"</f>
        <v>12,658</v>
      </c>
      <c r="R27" s="3" t="str">
        <f>"2 X GE CT7-9C3"</f>
        <v>2 X GE CT7-9C3</v>
      </c>
      <c r="S27" s="3"/>
      <c r="T27" s="3"/>
      <c r="U27" s="1">
        <f t="shared" si="2"/>
        <v>53.916408668730654</v>
      </c>
      <c r="V27" s="8" t="str">
        <f>"245"</f>
        <v>245</v>
      </c>
      <c r="W27" s="8" t="str">
        <f>"230"</f>
        <v>230</v>
      </c>
      <c r="X27" s="8" t="str">
        <f>"3,245"</f>
        <v>3,245</v>
      </c>
      <c r="Y27" s="8" t="str">
        <f>"2,251"</f>
        <v>2,251</v>
      </c>
      <c r="Z27" s="8" t="str">
        <f>""</f>
        <v/>
      </c>
      <c r="AA27" s="3" t="str">
        <f>"Over 250 CN-235-300s in service worldwide."</f>
        <v>Over 250 CN-235-300s in service worldwide.</v>
      </c>
    </row>
    <row r="28" spans="1:27" ht="19.95" customHeight="1">
      <c r="A28" s="1" t="str">
        <f t="shared" ref="A28:B47" si="17">"Airbus S.A.S."</f>
        <v>Airbus S.A.S.</v>
      </c>
      <c r="B28" s="2" t="str">
        <f t="shared" si="17"/>
        <v>Airbus S.A.S.</v>
      </c>
      <c r="C28" s="1" t="str">
        <f t="shared" ref="C28:C60" si="18">"Blagnac"</f>
        <v>Blagnac</v>
      </c>
      <c r="D28" s="1" t="str">
        <f>""</f>
        <v/>
      </c>
      <c r="E28" s="1" t="str">
        <f t="shared" ref="E28:E60" si="19">"France"</f>
        <v>France</v>
      </c>
      <c r="F28" s="1" t="str">
        <f>"A300-600"</f>
        <v>A300-600</v>
      </c>
      <c r="G28" s="1" t="str">
        <f t="shared" ref="G28:G40" si="20">"Wide-Body Turbofans"</f>
        <v>Wide-Body Turbofans</v>
      </c>
      <c r="H28" s="7" t="str">
        <f t="shared" si="1"/>
        <v>2</v>
      </c>
      <c r="I28" s="7" t="str">
        <f>"266-361"</f>
        <v>266-361</v>
      </c>
      <c r="J28" s="7" t="str">
        <f t="shared" ref="J28:J37" si="21">"147.1"</f>
        <v>147.1</v>
      </c>
      <c r="K28" s="7" t="str">
        <f t="shared" ref="K28:K37" si="22">"2,800"</f>
        <v>2,800</v>
      </c>
      <c r="L28" s="7" t="str">
        <f>"177.5"</f>
        <v>177.5</v>
      </c>
      <c r="M28" s="7" t="str">
        <f>"54.3"</f>
        <v>54.3</v>
      </c>
      <c r="N28" s="7" t="str">
        <f>"199,000"</f>
        <v>199,000</v>
      </c>
      <c r="O28" s="7" t="str">
        <f>"363,760"</f>
        <v>363,760</v>
      </c>
      <c r="P28" s="7" t="str">
        <f>"308,600"</f>
        <v>308,600</v>
      </c>
      <c r="Q28" s="7" t="str">
        <f>"86,520"</f>
        <v>86,520</v>
      </c>
      <c r="R28" s="1" t="str">
        <f>"2 X GE CF6-80C2 or PW4000"</f>
        <v>2 X GE CF6-80C2 or PW4000</v>
      </c>
      <c r="S28" s="1"/>
      <c r="T28" s="1"/>
      <c r="U28" s="1">
        <f t="shared" si="2"/>
        <v>129.91428571428571</v>
      </c>
      <c r="V28" s="7" t="str">
        <f>"M 0.82"</f>
        <v>M 0.82</v>
      </c>
      <c r="W28" s="7" t="str">
        <f>"M 0.79"</f>
        <v>M 0.79</v>
      </c>
      <c r="X28" s="7" t="str">
        <f>""</f>
        <v/>
      </c>
      <c r="Y28" s="7" t="str">
        <f>""</f>
        <v/>
      </c>
      <c r="Z28" s="7" t="str">
        <f>"4,050"</f>
        <v>4,050</v>
      </c>
      <c r="AA28" s="1" t="str">
        <f t="shared" ref="AA28:AA39" si="23">"Out of production."</f>
        <v>Out of production.</v>
      </c>
    </row>
    <row r="29" spans="1:27" ht="19.95" customHeight="1">
      <c r="A29" s="3" t="str">
        <f t="shared" si="17"/>
        <v>Airbus S.A.S.</v>
      </c>
      <c r="B29" s="4" t="str">
        <f t="shared" si="17"/>
        <v>Airbus S.A.S.</v>
      </c>
      <c r="C29" s="3" t="str">
        <f t="shared" si="18"/>
        <v>Blagnac</v>
      </c>
      <c r="D29" s="3" t="str">
        <f>""</f>
        <v/>
      </c>
      <c r="E29" s="3" t="str">
        <f t="shared" si="19"/>
        <v>France</v>
      </c>
      <c r="F29" s="3" t="str">
        <f>"A300-600C"</f>
        <v>A300-600C</v>
      </c>
      <c r="G29" s="3" t="str">
        <f t="shared" si="20"/>
        <v>Wide-Body Turbofans</v>
      </c>
      <c r="H29" s="8" t="str">
        <f t="shared" si="1"/>
        <v>2</v>
      </c>
      <c r="I29" s="8" t="str">
        <f>"0"</f>
        <v>0</v>
      </c>
      <c r="J29" s="8" t="str">
        <f t="shared" si="21"/>
        <v>147.1</v>
      </c>
      <c r="K29" s="8" t="str">
        <f t="shared" si="22"/>
        <v>2,800</v>
      </c>
      <c r="L29" s="8" t="str">
        <f>"177.5"</f>
        <v>177.5</v>
      </c>
      <c r="M29" s="8" t="str">
        <f>"54.3"</f>
        <v>54.3</v>
      </c>
      <c r="N29" s="8" t="str">
        <f>""</f>
        <v/>
      </c>
      <c r="O29" s="8" t="str">
        <f>"375,900"</f>
        <v>375,900</v>
      </c>
      <c r="P29" s="8" t="str">
        <f>"308,600"</f>
        <v>308,600</v>
      </c>
      <c r="Q29" s="8" t="str">
        <f>""</f>
        <v/>
      </c>
      <c r="R29" s="3" t="str">
        <f>"2 X GE CF6-80C2 or PW4000"</f>
        <v>2 X GE CF6-80C2 or PW4000</v>
      </c>
      <c r="S29" s="3"/>
      <c r="T29" s="3"/>
      <c r="U29" s="1">
        <f t="shared" si="2"/>
        <v>134.25</v>
      </c>
      <c r="V29" s="8" t="str">
        <f>"M 0.82"</f>
        <v>M 0.82</v>
      </c>
      <c r="W29" s="8" t="str">
        <f>""</f>
        <v/>
      </c>
      <c r="X29" s="8" t="str">
        <f>""</f>
        <v/>
      </c>
      <c r="Y29" s="8" t="str">
        <f>""</f>
        <v/>
      </c>
      <c r="Z29" s="8" t="str">
        <f>""</f>
        <v/>
      </c>
      <c r="AA29" s="3" t="str">
        <f t="shared" si="23"/>
        <v>Out of production.</v>
      </c>
    </row>
    <row r="30" spans="1:27" ht="19.95" customHeight="1">
      <c r="A30" s="1" t="str">
        <f t="shared" si="17"/>
        <v>Airbus S.A.S.</v>
      </c>
      <c r="B30" s="2" t="str">
        <f t="shared" si="17"/>
        <v>Airbus S.A.S.</v>
      </c>
      <c r="C30" s="1" t="str">
        <f t="shared" si="18"/>
        <v>Blagnac</v>
      </c>
      <c r="D30" s="1" t="str">
        <f>""</f>
        <v/>
      </c>
      <c r="E30" s="1" t="str">
        <f t="shared" si="19"/>
        <v>France</v>
      </c>
      <c r="F30" s="1" t="str">
        <f>"A300-600F"</f>
        <v>A300-600F</v>
      </c>
      <c r="G30" s="1" t="str">
        <f t="shared" si="20"/>
        <v>Wide-Body Turbofans</v>
      </c>
      <c r="H30" s="7" t="str">
        <f t="shared" si="1"/>
        <v>2</v>
      </c>
      <c r="I30" s="7" t="str">
        <f>"0"</f>
        <v>0</v>
      </c>
      <c r="J30" s="7" t="str">
        <f t="shared" si="21"/>
        <v>147.1</v>
      </c>
      <c r="K30" s="7" t="str">
        <f t="shared" si="22"/>
        <v>2,800</v>
      </c>
      <c r="L30" s="7" t="str">
        <f>"177.5"</f>
        <v>177.5</v>
      </c>
      <c r="M30" s="7" t="str">
        <f>"54.3"</f>
        <v>54.3</v>
      </c>
      <c r="N30" s="7" t="str">
        <f>"180,000"</f>
        <v>180,000</v>
      </c>
      <c r="O30" s="7" t="str">
        <f>"375,900"</f>
        <v>375,900</v>
      </c>
      <c r="P30" s="7" t="str">
        <f>"308,600"</f>
        <v>308,600</v>
      </c>
      <c r="Q30" s="7" t="str">
        <f>"120,800"</f>
        <v>120,800</v>
      </c>
      <c r="R30" s="1" t="str">
        <f>"2 X GE CF6-80C2A5 or PW4158"</f>
        <v>2 X GE CF6-80C2A5 or PW4158</v>
      </c>
      <c r="S30" s="1"/>
      <c r="T30" s="1"/>
      <c r="U30" s="1">
        <f t="shared" si="2"/>
        <v>134.25</v>
      </c>
      <c r="V30" s="7" t="str">
        <f>"M 0.82"</f>
        <v>M 0.82</v>
      </c>
      <c r="W30" s="7" t="str">
        <f>"M 0.79"</f>
        <v>M 0.79</v>
      </c>
      <c r="X30" s="7" t="str">
        <f>"7,400"</f>
        <v>7,400</v>
      </c>
      <c r="Y30" s="7" t="str">
        <f>"4,900"</f>
        <v>4,900</v>
      </c>
      <c r="Z30" s="7" t="str">
        <f>"2,650"</f>
        <v>2,650</v>
      </c>
      <c r="AA30" s="1" t="str">
        <f t="shared" si="23"/>
        <v>Out of production.</v>
      </c>
    </row>
    <row r="31" spans="1:27" ht="19.95" customHeight="1">
      <c r="A31" s="3" t="str">
        <f t="shared" si="17"/>
        <v>Airbus S.A.S.</v>
      </c>
      <c r="B31" s="4" t="str">
        <f t="shared" si="17"/>
        <v>Airbus S.A.S.</v>
      </c>
      <c r="C31" s="3" t="str">
        <f t="shared" si="18"/>
        <v>Blagnac</v>
      </c>
      <c r="D31" s="3" t="str">
        <f>""</f>
        <v/>
      </c>
      <c r="E31" s="3" t="str">
        <f t="shared" si="19"/>
        <v>France</v>
      </c>
      <c r="F31" s="3" t="str">
        <f>"A300-600R"</f>
        <v>A300-600R</v>
      </c>
      <c r="G31" s="3" t="str">
        <f t="shared" si="20"/>
        <v>Wide-Body Turbofans</v>
      </c>
      <c r="H31" s="8" t="str">
        <f t="shared" si="1"/>
        <v>2</v>
      </c>
      <c r="I31" s="8" t="str">
        <f>"266"</f>
        <v>266</v>
      </c>
      <c r="J31" s="8" t="str">
        <f t="shared" si="21"/>
        <v>147.1</v>
      </c>
      <c r="K31" s="8" t="str">
        <f t="shared" si="22"/>
        <v>2,800</v>
      </c>
      <c r="L31" s="8" t="str">
        <f>"177.5"</f>
        <v>177.5</v>
      </c>
      <c r="M31" s="8" t="str">
        <f>"54.3"</f>
        <v>54.3</v>
      </c>
      <c r="N31" s="8" t="str">
        <f>"199,000"</f>
        <v>199,000</v>
      </c>
      <c r="O31" s="8" t="str">
        <f>"378,500"</f>
        <v>378,500</v>
      </c>
      <c r="P31" s="8" t="str">
        <f>"308,600"</f>
        <v>308,600</v>
      </c>
      <c r="Q31" s="8" t="str">
        <f>"34,750"</f>
        <v>34,750</v>
      </c>
      <c r="R31" s="3" t="str">
        <f>"2 X GE CF6-80C2 or PW4000"</f>
        <v>2 X GE CF6-80C2 or PW4000</v>
      </c>
      <c r="S31" s="3"/>
      <c r="T31" s="3"/>
      <c r="U31" s="1">
        <f t="shared" si="2"/>
        <v>135.17857142857142</v>
      </c>
      <c r="V31" s="8" t="str">
        <f>"M 0.82"</f>
        <v>M 0.82</v>
      </c>
      <c r="W31" s="8" t="str">
        <f>"M 0.79"</f>
        <v>M 0.79</v>
      </c>
      <c r="X31" s="8" t="str">
        <f>"7,600"</f>
        <v>7,600</v>
      </c>
      <c r="Y31" s="8" t="str">
        <f>"4,700"</f>
        <v>4,700</v>
      </c>
      <c r="Z31" s="8" t="str">
        <f>"4,050"</f>
        <v>4,050</v>
      </c>
      <c r="AA31" s="3" t="str">
        <f t="shared" si="23"/>
        <v>Out of production.</v>
      </c>
    </row>
    <row r="32" spans="1:27" ht="19.95" customHeight="1">
      <c r="A32" s="1" t="str">
        <f t="shared" si="17"/>
        <v>Airbus S.A.S.</v>
      </c>
      <c r="B32" s="2" t="str">
        <f t="shared" si="17"/>
        <v>Airbus S.A.S.</v>
      </c>
      <c r="C32" s="1" t="str">
        <f t="shared" si="18"/>
        <v>Blagnac</v>
      </c>
      <c r="D32" s="1" t="str">
        <f>""</f>
        <v/>
      </c>
      <c r="E32" s="1" t="str">
        <f t="shared" si="19"/>
        <v>France</v>
      </c>
      <c r="F32" s="1" t="str">
        <f>"A300-B2-100"</f>
        <v>A300-B2-100</v>
      </c>
      <c r="G32" s="1" t="str">
        <f t="shared" si="20"/>
        <v>Wide-Body Turbofans</v>
      </c>
      <c r="H32" s="7" t="str">
        <f t="shared" ref="H32:H37" si="24">"3"</f>
        <v>3</v>
      </c>
      <c r="I32" s="7" t="str">
        <f>"251"</f>
        <v>251</v>
      </c>
      <c r="J32" s="7" t="str">
        <f t="shared" si="21"/>
        <v>147.1</v>
      </c>
      <c r="K32" s="7" t="str">
        <f t="shared" si="22"/>
        <v>2,800</v>
      </c>
      <c r="L32" s="7" t="str">
        <f t="shared" ref="L32:L37" si="25">"175.9"</f>
        <v>175.9</v>
      </c>
      <c r="M32" s="7" t="str">
        <f t="shared" ref="M32:M37" si="26">"54.1"</f>
        <v>54.1</v>
      </c>
      <c r="N32" s="7" t="str">
        <f>""</f>
        <v/>
      </c>
      <c r="O32" s="7" t="str">
        <f>"302,000"</f>
        <v>302,000</v>
      </c>
      <c r="P32" s="7" t="str">
        <f>"281,100"</f>
        <v>281,100</v>
      </c>
      <c r="Q32" s="7" t="str">
        <f>""</f>
        <v/>
      </c>
      <c r="R32" s="1" t="str">
        <f t="shared" ref="R32:R37" si="27">"2 X GE CF6 or Pratt &amp; Whitney JT9D"</f>
        <v>2 X GE CF6 or Pratt &amp; Whitney JT9D</v>
      </c>
      <c r="S32" s="1"/>
      <c r="T32" s="1"/>
      <c r="U32" s="1">
        <f t="shared" si="2"/>
        <v>107.85714285714286</v>
      </c>
      <c r="V32" s="7" t="str">
        <f>"M 0.86"</f>
        <v>M 0.86</v>
      </c>
      <c r="W32" s="7" t="str">
        <f>""</f>
        <v/>
      </c>
      <c r="X32" s="7" t="str">
        <f>""</f>
        <v/>
      </c>
      <c r="Y32" s="7" t="str">
        <f>""</f>
        <v/>
      </c>
      <c r="Z32" s="7" t="str">
        <f>""</f>
        <v/>
      </c>
      <c r="AA32" s="1" t="str">
        <f t="shared" si="23"/>
        <v>Out of production.</v>
      </c>
    </row>
    <row r="33" spans="1:27" ht="19.95" customHeight="1">
      <c r="A33" s="3" t="str">
        <f t="shared" si="17"/>
        <v>Airbus S.A.S.</v>
      </c>
      <c r="B33" s="4" t="str">
        <f t="shared" si="17"/>
        <v>Airbus S.A.S.</v>
      </c>
      <c r="C33" s="3" t="str">
        <f t="shared" si="18"/>
        <v>Blagnac</v>
      </c>
      <c r="D33" s="3" t="str">
        <f>""</f>
        <v/>
      </c>
      <c r="E33" s="3" t="str">
        <f t="shared" si="19"/>
        <v>France</v>
      </c>
      <c r="F33" s="3" t="str">
        <f>"A300-B2-200"</f>
        <v>A300-B2-200</v>
      </c>
      <c r="G33" s="3" t="str">
        <f t="shared" si="20"/>
        <v>Wide-Body Turbofans</v>
      </c>
      <c r="H33" s="8" t="str">
        <f t="shared" si="24"/>
        <v>3</v>
      </c>
      <c r="I33" s="8" t="str">
        <f>"251"</f>
        <v>251</v>
      </c>
      <c r="J33" s="8" t="str">
        <f t="shared" si="21"/>
        <v>147.1</v>
      </c>
      <c r="K33" s="8" t="str">
        <f t="shared" si="22"/>
        <v>2,800</v>
      </c>
      <c r="L33" s="8" t="str">
        <f t="shared" si="25"/>
        <v>175.9</v>
      </c>
      <c r="M33" s="8" t="str">
        <f t="shared" si="26"/>
        <v>54.1</v>
      </c>
      <c r="N33" s="8" t="str">
        <f>"169,890"</f>
        <v>169,890</v>
      </c>
      <c r="O33" s="8" t="str">
        <f>"313,000"</f>
        <v>313,000</v>
      </c>
      <c r="P33" s="8" t="str">
        <f>"286,600"</f>
        <v>286,600</v>
      </c>
      <c r="Q33" s="8" t="str">
        <f>""</f>
        <v/>
      </c>
      <c r="R33" s="3" t="str">
        <f t="shared" si="27"/>
        <v>2 X GE CF6 or Pratt &amp; Whitney JT9D</v>
      </c>
      <c r="S33" s="3"/>
      <c r="T33" s="3"/>
      <c r="U33" s="1">
        <f t="shared" si="2"/>
        <v>111.78571428571429</v>
      </c>
      <c r="V33" s="8" t="str">
        <f>"M 0.86"</f>
        <v>M 0.86</v>
      </c>
      <c r="W33" s="8" t="str">
        <f>""</f>
        <v/>
      </c>
      <c r="X33" s="8" t="str">
        <f>""</f>
        <v/>
      </c>
      <c r="Y33" s="8" t="str">
        <f>""</f>
        <v/>
      </c>
      <c r="Z33" s="8" t="str">
        <f>""</f>
        <v/>
      </c>
      <c r="AA33" s="3" t="str">
        <f t="shared" si="23"/>
        <v>Out of production.</v>
      </c>
    </row>
    <row r="34" spans="1:27" ht="19.95" customHeight="1">
      <c r="A34" s="1" t="str">
        <f t="shared" si="17"/>
        <v>Airbus S.A.S.</v>
      </c>
      <c r="B34" s="2" t="str">
        <f t="shared" si="17"/>
        <v>Airbus S.A.S.</v>
      </c>
      <c r="C34" s="1" t="str">
        <f t="shared" si="18"/>
        <v>Blagnac</v>
      </c>
      <c r="D34" s="1" t="str">
        <f>""</f>
        <v/>
      </c>
      <c r="E34" s="1" t="str">
        <f t="shared" si="19"/>
        <v>France</v>
      </c>
      <c r="F34" s="1" t="str">
        <f>"A300-B4-100"</f>
        <v>A300-B4-100</v>
      </c>
      <c r="G34" s="1" t="str">
        <f t="shared" si="20"/>
        <v>Wide-Body Turbofans</v>
      </c>
      <c r="H34" s="7" t="str">
        <f t="shared" si="24"/>
        <v>3</v>
      </c>
      <c r="I34" s="7" t="str">
        <f>"251"</f>
        <v>251</v>
      </c>
      <c r="J34" s="7" t="str">
        <f t="shared" si="21"/>
        <v>147.1</v>
      </c>
      <c r="K34" s="7" t="str">
        <f t="shared" si="22"/>
        <v>2,800</v>
      </c>
      <c r="L34" s="7" t="str">
        <f t="shared" si="25"/>
        <v>175.9</v>
      </c>
      <c r="M34" s="7" t="str">
        <f t="shared" si="26"/>
        <v>54.1</v>
      </c>
      <c r="N34" s="7" t="str">
        <f>""</f>
        <v/>
      </c>
      <c r="O34" s="7" t="str">
        <f>"347,200"</f>
        <v>347,200</v>
      </c>
      <c r="P34" s="7" t="str">
        <f>"295,400"</f>
        <v>295,400</v>
      </c>
      <c r="Q34" s="7" t="str">
        <f>""</f>
        <v/>
      </c>
      <c r="R34" s="1" t="str">
        <f t="shared" si="27"/>
        <v>2 X GE CF6 or Pratt &amp; Whitney JT9D</v>
      </c>
      <c r="S34" s="1"/>
      <c r="T34" s="1"/>
      <c r="U34" s="1">
        <f t="shared" si="2"/>
        <v>124</v>
      </c>
      <c r="V34" s="7" t="str">
        <f>"M 0.82"</f>
        <v>M 0.82</v>
      </c>
      <c r="W34" s="7" t="str">
        <f>""</f>
        <v/>
      </c>
      <c r="X34" s="7" t="str">
        <f>""</f>
        <v/>
      </c>
      <c r="Y34" s="7" t="str">
        <f>""</f>
        <v/>
      </c>
      <c r="Z34" s="7" t="str">
        <f>"2,450"</f>
        <v>2,450</v>
      </c>
      <c r="AA34" s="1" t="str">
        <f t="shared" si="23"/>
        <v>Out of production.</v>
      </c>
    </row>
    <row r="35" spans="1:27" ht="19.95" customHeight="1">
      <c r="A35" s="3" t="str">
        <f t="shared" si="17"/>
        <v>Airbus S.A.S.</v>
      </c>
      <c r="B35" s="4" t="str">
        <f t="shared" si="17"/>
        <v>Airbus S.A.S.</v>
      </c>
      <c r="C35" s="3" t="str">
        <f t="shared" si="18"/>
        <v>Blagnac</v>
      </c>
      <c r="D35" s="3" t="str">
        <f>""</f>
        <v/>
      </c>
      <c r="E35" s="3" t="str">
        <f t="shared" si="19"/>
        <v>France</v>
      </c>
      <c r="F35" s="3" t="str">
        <f>"A300-B4-200"</f>
        <v>A300-B4-200</v>
      </c>
      <c r="G35" s="3" t="str">
        <f t="shared" si="20"/>
        <v>Wide-Body Turbofans</v>
      </c>
      <c r="H35" s="8" t="str">
        <f t="shared" si="24"/>
        <v>3</v>
      </c>
      <c r="I35" s="8" t="str">
        <f>"251"</f>
        <v>251</v>
      </c>
      <c r="J35" s="8" t="str">
        <f t="shared" si="21"/>
        <v>147.1</v>
      </c>
      <c r="K35" s="8" t="str">
        <f t="shared" si="22"/>
        <v>2,800</v>
      </c>
      <c r="L35" s="8" t="str">
        <f t="shared" si="25"/>
        <v>175.9</v>
      </c>
      <c r="M35" s="8" t="str">
        <f t="shared" si="26"/>
        <v>54.1</v>
      </c>
      <c r="N35" s="8" t="str">
        <f>"173,404"</f>
        <v>173,404</v>
      </c>
      <c r="O35" s="8" t="str">
        <f>"363,800"</f>
        <v>363,800</v>
      </c>
      <c r="P35" s="8" t="str">
        <f>"295,400"</f>
        <v>295,400</v>
      </c>
      <c r="Q35" s="8" t="str">
        <f>""</f>
        <v/>
      </c>
      <c r="R35" s="3" t="str">
        <f t="shared" si="27"/>
        <v>2 X GE CF6 or Pratt &amp; Whitney JT9D</v>
      </c>
      <c r="S35" s="3"/>
      <c r="T35" s="3"/>
      <c r="U35" s="1">
        <f t="shared" si="2"/>
        <v>129.92857142857142</v>
      </c>
      <c r="V35" s="8" t="str">
        <f>"M 0.82"</f>
        <v>M 0.82</v>
      </c>
      <c r="W35" s="8" t="str">
        <f>""</f>
        <v/>
      </c>
      <c r="X35" s="8" t="str">
        <f>""</f>
        <v/>
      </c>
      <c r="Y35" s="8" t="str">
        <f>""</f>
        <v/>
      </c>
      <c r="Z35" s="8" t="str">
        <f>"2,300"</f>
        <v>2,300</v>
      </c>
      <c r="AA35" s="3" t="str">
        <f t="shared" si="23"/>
        <v>Out of production.</v>
      </c>
    </row>
    <row r="36" spans="1:27" ht="19.95" customHeight="1">
      <c r="A36" s="1" t="str">
        <f t="shared" si="17"/>
        <v>Airbus S.A.S.</v>
      </c>
      <c r="B36" s="2" t="str">
        <f t="shared" si="17"/>
        <v>Airbus S.A.S.</v>
      </c>
      <c r="C36" s="1" t="str">
        <f t="shared" si="18"/>
        <v>Blagnac</v>
      </c>
      <c r="D36" s="1" t="str">
        <f>""</f>
        <v/>
      </c>
      <c r="E36" s="1" t="str">
        <f t="shared" si="19"/>
        <v>France</v>
      </c>
      <c r="F36" s="1" t="str">
        <f>"A300-C4-200"</f>
        <v>A300-C4-200</v>
      </c>
      <c r="G36" s="1" t="str">
        <f t="shared" si="20"/>
        <v>Wide-Body Turbofans</v>
      </c>
      <c r="H36" s="7" t="str">
        <f t="shared" si="24"/>
        <v>3</v>
      </c>
      <c r="I36" s="7" t="str">
        <f>"251"</f>
        <v>251</v>
      </c>
      <c r="J36" s="7" t="str">
        <f t="shared" si="21"/>
        <v>147.1</v>
      </c>
      <c r="K36" s="7" t="str">
        <f t="shared" si="22"/>
        <v>2,800</v>
      </c>
      <c r="L36" s="7" t="str">
        <f t="shared" si="25"/>
        <v>175.9</v>
      </c>
      <c r="M36" s="7" t="str">
        <f t="shared" si="26"/>
        <v>54.1</v>
      </c>
      <c r="N36" s="7" t="str">
        <f>"177,262"</f>
        <v>177,262</v>
      </c>
      <c r="O36" s="7" t="str">
        <f>"363,800"</f>
        <v>363,800</v>
      </c>
      <c r="P36" s="7" t="str">
        <f>"295,400"</f>
        <v>295,400</v>
      </c>
      <c r="Q36" s="7" t="str">
        <f>""</f>
        <v/>
      </c>
      <c r="R36" s="1" t="str">
        <f t="shared" si="27"/>
        <v>2 X GE CF6 or Pratt &amp; Whitney JT9D</v>
      </c>
      <c r="S36" s="1"/>
      <c r="T36" s="1"/>
      <c r="U36" s="1">
        <f t="shared" si="2"/>
        <v>129.92857142857142</v>
      </c>
      <c r="V36" s="7" t="str">
        <f>"M 0.82"</f>
        <v>M 0.82</v>
      </c>
      <c r="W36" s="7" t="str">
        <f>""</f>
        <v/>
      </c>
      <c r="X36" s="7" t="str">
        <f>""</f>
        <v/>
      </c>
      <c r="Y36" s="7" t="str">
        <f>""</f>
        <v/>
      </c>
      <c r="Z36" s="7" t="str">
        <f>""</f>
        <v/>
      </c>
      <c r="AA36" s="1" t="str">
        <f t="shared" si="23"/>
        <v>Out of production.</v>
      </c>
    </row>
    <row r="37" spans="1:27" ht="19.95" customHeight="1">
      <c r="A37" s="3" t="str">
        <f t="shared" si="17"/>
        <v>Airbus S.A.S.</v>
      </c>
      <c r="B37" s="4" t="str">
        <f t="shared" si="17"/>
        <v>Airbus S.A.S.</v>
      </c>
      <c r="C37" s="3" t="str">
        <f t="shared" si="18"/>
        <v>Blagnac</v>
      </c>
      <c r="D37" s="3" t="str">
        <f>""</f>
        <v/>
      </c>
      <c r="E37" s="3" t="str">
        <f t="shared" si="19"/>
        <v>France</v>
      </c>
      <c r="F37" s="3" t="str">
        <f>"A300-F4-200"</f>
        <v>A300-F4-200</v>
      </c>
      <c r="G37" s="3" t="str">
        <f t="shared" si="20"/>
        <v>Wide-Body Turbofans</v>
      </c>
      <c r="H37" s="8" t="str">
        <f t="shared" si="24"/>
        <v>3</v>
      </c>
      <c r="I37" s="8" t="str">
        <f>"0"</f>
        <v>0</v>
      </c>
      <c r="J37" s="8" t="str">
        <f t="shared" si="21"/>
        <v>147.1</v>
      </c>
      <c r="K37" s="8" t="str">
        <f t="shared" si="22"/>
        <v>2,800</v>
      </c>
      <c r="L37" s="8" t="str">
        <f t="shared" si="25"/>
        <v>175.9</v>
      </c>
      <c r="M37" s="8" t="str">
        <f t="shared" si="26"/>
        <v>54.1</v>
      </c>
      <c r="N37" s="8" t="str">
        <f>"177,262"</f>
        <v>177,262</v>
      </c>
      <c r="O37" s="8" t="str">
        <f>"363,800"</f>
        <v>363,800</v>
      </c>
      <c r="P37" s="8" t="str">
        <f>"295,400"</f>
        <v>295,400</v>
      </c>
      <c r="Q37" s="8" t="str">
        <f>""</f>
        <v/>
      </c>
      <c r="R37" s="3" t="str">
        <f t="shared" si="27"/>
        <v>2 X GE CF6 or Pratt &amp; Whitney JT9D</v>
      </c>
      <c r="S37" s="3"/>
      <c r="T37" s="3"/>
      <c r="U37" s="1">
        <f t="shared" si="2"/>
        <v>129.92857142857142</v>
      </c>
      <c r="V37" s="8" t="str">
        <f>"M 0.82"</f>
        <v>M 0.82</v>
      </c>
      <c r="W37" s="8" t="str">
        <f>""</f>
        <v/>
      </c>
      <c r="X37" s="8" t="str">
        <f>""</f>
        <v/>
      </c>
      <c r="Y37" s="8" t="str">
        <f>""</f>
        <v/>
      </c>
      <c r="Z37" s="8" t="str">
        <f>""</f>
        <v/>
      </c>
      <c r="AA37" s="3" t="str">
        <f t="shared" si="23"/>
        <v>Out of production.</v>
      </c>
    </row>
    <row r="38" spans="1:27" ht="19.95" customHeight="1">
      <c r="A38" s="1" t="str">
        <f t="shared" si="17"/>
        <v>Airbus S.A.S.</v>
      </c>
      <c r="B38" s="2" t="str">
        <f t="shared" si="17"/>
        <v>Airbus S.A.S.</v>
      </c>
      <c r="C38" s="1" t="str">
        <f t="shared" si="18"/>
        <v>Blagnac</v>
      </c>
      <c r="D38" s="1" t="str">
        <f>""</f>
        <v/>
      </c>
      <c r="E38" s="1" t="str">
        <f t="shared" si="19"/>
        <v>France</v>
      </c>
      <c r="F38" s="1" t="str">
        <f>"A310-200"</f>
        <v>A310-200</v>
      </c>
      <c r="G38" s="1" t="str">
        <f t="shared" si="20"/>
        <v>Wide-Body Turbofans</v>
      </c>
      <c r="H38" s="7" t="str">
        <f>"2"</f>
        <v>2</v>
      </c>
      <c r="I38" s="7" t="str">
        <f>"220-280"</f>
        <v>220-280</v>
      </c>
      <c r="J38" s="7" t="str">
        <f>"144"</f>
        <v>144</v>
      </c>
      <c r="K38" s="7" t="str">
        <f>"2,360"</f>
        <v>2,360</v>
      </c>
      <c r="L38" s="7" t="str">
        <f>"153.1"</f>
        <v>153.1</v>
      </c>
      <c r="M38" s="7" t="str">
        <f>"51.1"</f>
        <v>51.1</v>
      </c>
      <c r="N38" s="7" t="str">
        <f>"174,700"</f>
        <v>174,700</v>
      </c>
      <c r="O38" s="7" t="str">
        <f>"313,100"</f>
        <v>313,100</v>
      </c>
      <c r="P38" s="7" t="str">
        <f>""</f>
        <v/>
      </c>
      <c r="Q38" s="7" t="str">
        <f>""</f>
        <v/>
      </c>
      <c r="R38" s="1" t="str">
        <f>"2 X GE CF6-80C2 or PW4000"</f>
        <v>2 X GE CF6-80C2 or PW4000</v>
      </c>
      <c r="S38" s="1"/>
      <c r="T38" s="1"/>
      <c r="U38" s="1">
        <f t="shared" si="2"/>
        <v>132.66949152542372</v>
      </c>
      <c r="V38" s="7" t="str">
        <f>"M 0.84"</f>
        <v>M 0.84</v>
      </c>
      <c r="W38" s="7" t="str">
        <f>""</f>
        <v/>
      </c>
      <c r="X38" s="7" t="str">
        <f>""</f>
        <v/>
      </c>
      <c r="Y38" s="7" t="str">
        <f>""</f>
        <v/>
      </c>
      <c r="Z38" s="7" t="str">
        <f>""</f>
        <v/>
      </c>
      <c r="AA38" s="1" t="str">
        <f t="shared" si="23"/>
        <v>Out of production.</v>
      </c>
    </row>
    <row r="39" spans="1:27" ht="19.95" customHeight="1">
      <c r="A39" s="3" t="str">
        <f t="shared" si="17"/>
        <v>Airbus S.A.S.</v>
      </c>
      <c r="B39" s="4" t="str">
        <f t="shared" si="17"/>
        <v>Airbus S.A.S.</v>
      </c>
      <c r="C39" s="3" t="str">
        <f t="shared" si="18"/>
        <v>Blagnac</v>
      </c>
      <c r="D39" s="3" t="str">
        <f>""</f>
        <v/>
      </c>
      <c r="E39" s="3" t="str">
        <f t="shared" si="19"/>
        <v>France</v>
      </c>
      <c r="F39" s="3" t="str">
        <f>"A310-200C"</f>
        <v>A310-200C</v>
      </c>
      <c r="G39" s="3" t="str">
        <f t="shared" si="20"/>
        <v>Wide-Body Turbofans</v>
      </c>
      <c r="H39" s="8" t="str">
        <f>"2"</f>
        <v>2</v>
      </c>
      <c r="I39" s="8" t="str">
        <f>"220-280"</f>
        <v>220-280</v>
      </c>
      <c r="J39" s="8" t="str">
        <f>"144"</f>
        <v>144</v>
      </c>
      <c r="K39" s="8" t="str">
        <f>"2,360"</f>
        <v>2,360</v>
      </c>
      <c r="L39" s="8" t="str">
        <f>"153.1"</f>
        <v>153.1</v>
      </c>
      <c r="M39" s="8" t="str">
        <f>"51.1"</f>
        <v>51.1</v>
      </c>
      <c r="N39" s="8" t="str">
        <f>"179,700"</f>
        <v>179,700</v>
      </c>
      <c r="O39" s="8" t="str">
        <f>"313,100"</f>
        <v>313,100</v>
      </c>
      <c r="P39" s="8" t="str">
        <f>""</f>
        <v/>
      </c>
      <c r="Q39" s="8" t="str">
        <f>""</f>
        <v/>
      </c>
      <c r="R39" s="3" t="str">
        <f>"2 X GE CF6-80C2 or PW4000"</f>
        <v>2 X GE CF6-80C2 or PW4000</v>
      </c>
      <c r="S39" s="3"/>
      <c r="T39" s="3"/>
      <c r="U39" s="1">
        <f t="shared" si="2"/>
        <v>132.66949152542372</v>
      </c>
      <c r="V39" s="8" t="str">
        <f>"M 0.84"</f>
        <v>M 0.84</v>
      </c>
      <c r="W39" s="8" t="str">
        <f>""</f>
        <v/>
      </c>
      <c r="X39" s="8" t="str">
        <f>""</f>
        <v/>
      </c>
      <c r="Y39" s="8" t="str">
        <f>""</f>
        <v/>
      </c>
      <c r="Z39" s="8" t="str">
        <f>""</f>
        <v/>
      </c>
      <c r="AA39" s="3" t="str">
        <f t="shared" si="23"/>
        <v>Out of production.</v>
      </c>
    </row>
    <row r="40" spans="1:27" ht="19.95" customHeight="1">
      <c r="A40" s="1" t="str">
        <f t="shared" si="17"/>
        <v>Airbus S.A.S.</v>
      </c>
      <c r="B40" s="2" t="str">
        <f t="shared" si="17"/>
        <v>Airbus S.A.S.</v>
      </c>
      <c r="C40" s="1" t="str">
        <f t="shared" si="18"/>
        <v>Blagnac</v>
      </c>
      <c r="D40" s="1" t="str">
        <f>""</f>
        <v/>
      </c>
      <c r="E40" s="1" t="str">
        <f t="shared" si="19"/>
        <v>France</v>
      </c>
      <c r="F40" s="1" t="str">
        <f>"A310-300"</f>
        <v>A310-300</v>
      </c>
      <c r="G40" s="1" t="str">
        <f t="shared" si="20"/>
        <v>Wide-Body Turbofans</v>
      </c>
      <c r="H40" s="7" t="str">
        <f>"2"</f>
        <v>2</v>
      </c>
      <c r="I40" s="7" t="str">
        <f>"220-280"</f>
        <v>220-280</v>
      </c>
      <c r="J40" s="7" t="str">
        <f>"144"</f>
        <v>144</v>
      </c>
      <c r="K40" s="7" t="str">
        <f>"2,360"</f>
        <v>2,360</v>
      </c>
      <c r="L40" s="7" t="str">
        <f>"153.1"</f>
        <v>153.1</v>
      </c>
      <c r="M40" s="7" t="str">
        <f>"51.1"</f>
        <v>51.1</v>
      </c>
      <c r="N40" s="7" t="str">
        <f>"178,700"</f>
        <v>178,700</v>
      </c>
      <c r="O40" s="7" t="str">
        <f>"361,600"</f>
        <v>361,600</v>
      </c>
      <c r="P40" s="7" t="str">
        <f>"273,400"</f>
        <v>273,400</v>
      </c>
      <c r="Q40" s="7" t="str">
        <f>"28,650"</f>
        <v>28,650</v>
      </c>
      <c r="R40" s="1" t="str">
        <f>"2 X GE CF6-80C2 or PW4000"</f>
        <v>2 X GE CF6-80C2 or PW4000</v>
      </c>
      <c r="S40" s="1"/>
      <c r="T40" s="1"/>
      <c r="U40" s="1">
        <f t="shared" si="2"/>
        <v>153.22033898305085</v>
      </c>
      <c r="V40" s="7" t="str">
        <f>"M 0.84"</f>
        <v>M 0.84</v>
      </c>
      <c r="W40" s="7" t="str">
        <f>"M 0.80"</f>
        <v>M 0.80</v>
      </c>
      <c r="X40" s="7" t="str">
        <f>"7,400"</f>
        <v>7,400</v>
      </c>
      <c r="Y40" s="7" t="str">
        <f>"4,950"</f>
        <v>4,950</v>
      </c>
      <c r="Z40" s="7" t="str">
        <f>"5,200"</f>
        <v>5,200</v>
      </c>
      <c r="AA40" s="1" t="str">
        <f>"Out of production. Extended-range A310."</f>
        <v>Out of production. Extended-range A310.</v>
      </c>
    </row>
    <row r="41" spans="1:27" ht="19.95" customHeight="1">
      <c r="A41" s="3" t="str">
        <f t="shared" si="17"/>
        <v>Airbus S.A.S.</v>
      </c>
      <c r="B41" s="4" t="str">
        <f t="shared" si="17"/>
        <v>Airbus S.A.S.</v>
      </c>
      <c r="C41" s="3" t="str">
        <f t="shared" si="18"/>
        <v>Blagnac</v>
      </c>
      <c r="D41" s="3" t="str">
        <f>""</f>
        <v/>
      </c>
      <c r="E41" s="3" t="str">
        <f t="shared" si="19"/>
        <v>France</v>
      </c>
      <c r="F41" s="3" t="str">
        <f>"A318"</f>
        <v>A318</v>
      </c>
      <c r="G41" s="3" t="str">
        <f t="shared" ref="G41:G48" si="28">"Narrow-Body Turbofans"</f>
        <v>Narrow-Body Turbofans</v>
      </c>
      <c r="H41" s="8" t="str">
        <f>"2"</f>
        <v>2</v>
      </c>
      <c r="I41" s="8" t="str">
        <f>"107-132"</f>
        <v>107-132</v>
      </c>
      <c r="J41" s="8" t="str">
        <f>"111.1"</f>
        <v>111.1</v>
      </c>
      <c r="K41" s="8" t="str">
        <f>"1,320"</f>
        <v>1,320</v>
      </c>
      <c r="L41" s="8" t="str">
        <f>"103.2"</f>
        <v>103.2</v>
      </c>
      <c r="M41" s="8" t="str">
        <f>"41.2"</f>
        <v>41.2</v>
      </c>
      <c r="N41" s="8" t="str">
        <f>"86,650"</f>
        <v>86,650</v>
      </c>
      <c r="O41" s="8" t="str">
        <f>"149,910"</f>
        <v>149,910</v>
      </c>
      <c r="P41" s="8" t="str">
        <f>"123,500"</f>
        <v>123,500</v>
      </c>
      <c r="Q41" s="8" t="str">
        <f>"12,700"</f>
        <v>12,700</v>
      </c>
      <c r="R41" s="3" t="str">
        <f>"2 X CFM International CFM56-5B or Pratt &amp; Whitney PW6000"</f>
        <v>2 X CFM International CFM56-5B or Pratt &amp; Whitney PW6000</v>
      </c>
      <c r="S41" s="3"/>
      <c r="T41" s="3"/>
      <c r="U41" s="1">
        <f t="shared" si="2"/>
        <v>113.56818181818181</v>
      </c>
      <c r="V41" s="8" t="str">
        <f>"M 0.82"</f>
        <v>M 0.82</v>
      </c>
      <c r="W41" s="8" t="str">
        <f>"M 0.78"</f>
        <v>M 0.78</v>
      </c>
      <c r="X41" s="8" t="str">
        <f>"4,200"</f>
        <v>4,200</v>
      </c>
      <c r="Y41" s="8" t="str">
        <f>""</f>
        <v/>
      </c>
      <c r="Z41" s="8" t="str">
        <f>"3,210"</f>
        <v>3,210</v>
      </c>
      <c r="AA41" s="3" t="str">
        <f>"In service 2003."</f>
        <v>In service 2003.</v>
      </c>
    </row>
    <row r="42" spans="1:27" ht="19.95" customHeight="1">
      <c r="A42" s="1" t="str">
        <f t="shared" si="17"/>
        <v>Airbus S.A.S.</v>
      </c>
      <c r="B42" s="2" t="str">
        <f t="shared" si="17"/>
        <v>Airbus S.A.S.</v>
      </c>
      <c r="C42" s="1" t="str">
        <f t="shared" si="18"/>
        <v>Blagnac</v>
      </c>
      <c r="D42" s="1" t="str">
        <f>""</f>
        <v/>
      </c>
      <c r="E42" s="1" t="str">
        <f t="shared" si="19"/>
        <v>France</v>
      </c>
      <c r="F42" s="1" t="str">
        <f>"A319 NEO"</f>
        <v>A319 NEO</v>
      </c>
      <c r="G42" s="1" t="str">
        <f t="shared" si="28"/>
        <v>Narrow-Body Turbofans</v>
      </c>
      <c r="H42" s="7" t="str">
        <f>""</f>
        <v/>
      </c>
      <c r="I42" s="7" t="str">
        <f>"124"</f>
        <v>124</v>
      </c>
      <c r="J42" s="7" t="str">
        <f>"117.45"</f>
        <v>117.45</v>
      </c>
      <c r="K42" s="7" t="str">
        <f>"1313.2"</f>
        <v>1313.2</v>
      </c>
      <c r="L42" s="7" t="str">
        <f>"111.02"</f>
        <v>111.02</v>
      </c>
      <c r="M42" s="7" t="str">
        <f>"38.58"</f>
        <v>38.58</v>
      </c>
      <c r="N42" s="7" t="str">
        <f>""</f>
        <v/>
      </c>
      <c r="O42" s="7" t="str">
        <f>""</f>
        <v/>
      </c>
      <c r="P42" s="7" t="str">
        <f>"138448.88"</f>
        <v>138448.88</v>
      </c>
      <c r="Q42" s="7" t="str">
        <f>""</f>
        <v/>
      </c>
      <c r="R42" s="1" t="str">
        <f>"2 LEAP-X PW1124G"</f>
        <v>2 LEAP-X PW1124G</v>
      </c>
      <c r="S42" s="1"/>
      <c r="T42" s="1"/>
      <c r="U42" s="1" t="e">
        <f t="shared" si="2"/>
        <v>#VALUE!</v>
      </c>
      <c r="V42" s="7" t="str">
        <f>"0.82"</f>
        <v>0.82</v>
      </c>
      <c r="W42" s="7" t="str">
        <f>""</f>
        <v/>
      </c>
      <c r="X42" s="7" t="str">
        <f>""</f>
        <v/>
      </c>
      <c r="Y42" s="7" t="str">
        <f>""</f>
        <v/>
      </c>
      <c r="Z42" s="7" t="str">
        <f>""</f>
        <v/>
      </c>
      <c r="AA42" s="1" t="str">
        <f>""</f>
        <v/>
      </c>
    </row>
    <row r="43" spans="1:27" ht="19.95" customHeight="1">
      <c r="A43" s="3" t="str">
        <f t="shared" si="17"/>
        <v>Airbus S.A.S.</v>
      </c>
      <c r="B43" s="4" t="str">
        <f t="shared" si="17"/>
        <v>Airbus S.A.S.</v>
      </c>
      <c r="C43" s="3" t="str">
        <f t="shared" si="18"/>
        <v>Blagnac</v>
      </c>
      <c r="D43" s="3" t="str">
        <f>""</f>
        <v/>
      </c>
      <c r="E43" s="3" t="str">
        <f t="shared" si="19"/>
        <v>France</v>
      </c>
      <c r="F43" s="3" t="str">
        <f>"A319-100"</f>
        <v>A319-100</v>
      </c>
      <c r="G43" s="3" t="str">
        <f t="shared" si="28"/>
        <v>Narrow-Body Turbofans</v>
      </c>
      <c r="H43" s="8" t="str">
        <f>"2"</f>
        <v>2</v>
      </c>
      <c r="I43" s="8" t="str">
        <f>"124-156"</f>
        <v>124-156</v>
      </c>
      <c r="J43" s="8" t="str">
        <f>"111.1"</f>
        <v>111.1</v>
      </c>
      <c r="K43" s="8" t="str">
        <f>"1,320"</f>
        <v>1,320</v>
      </c>
      <c r="L43" s="8" t="str">
        <f>"111"</f>
        <v>111</v>
      </c>
      <c r="M43" s="8" t="str">
        <f>"38.7"</f>
        <v>38.7</v>
      </c>
      <c r="N43" s="8" t="str">
        <f>"89,500"</f>
        <v>89,500</v>
      </c>
      <c r="O43" s="8" t="str">
        <f>"166,500"</f>
        <v>166,500</v>
      </c>
      <c r="P43" s="8" t="str">
        <f>"134,500"</f>
        <v>134,500</v>
      </c>
      <c r="Q43" s="8" t="str">
        <f>"15,100"</f>
        <v>15,100</v>
      </c>
      <c r="R43" s="3" t="str">
        <f>"2 X CFM International CFM56-5B6 or IAE V2524-A5"</f>
        <v>2 X CFM International CFM56-5B6 or IAE V2524-A5</v>
      </c>
      <c r="S43" s="3"/>
      <c r="T43" s="3"/>
      <c r="U43" s="1">
        <f t="shared" si="2"/>
        <v>126.13636363636364</v>
      </c>
      <c r="V43" s="8" t="str">
        <f>"M 0.82"</f>
        <v>M 0.82</v>
      </c>
      <c r="W43" s="8" t="str">
        <f>"M 0.78"</f>
        <v>M 0.78</v>
      </c>
      <c r="X43" s="8" t="str">
        <f>"4,800"</f>
        <v>4,800</v>
      </c>
      <c r="Y43" s="8" t="str">
        <f>"4,700"</f>
        <v>4,700</v>
      </c>
      <c r="Z43" s="8" t="str">
        <f>"3,660"</f>
        <v>3,660</v>
      </c>
      <c r="AA43" s="3" t="str">
        <f>"In service 1996."</f>
        <v>In service 1996.</v>
      </c>
    </row>
    <row r="44" spans="1:27" ht="19.95" customHeight="1">
      <c r="A44" s="1" t="str">
        <f t="shared" si="17"/>
        <v>Airbus S.A.S.</v>
      </c>
      <c r="B44" s="2" t="str">
        <f t="shared" si="17"/>
        <v>Airbus S.A.S.</v>
      </c>
      <c r="C44" s="1" t="str">
        <f t="shared" si="18"/>
        <v>Blagnac</v>
      </c>
      <c r="D44" s="1" t="str">
        <f>""</f>
        <v/>
      </c>
      <c r="E44" s="1" t="str">
        <f t="shared" si="19"/>
        <v>France</v>
      </c>
      <c r="F44" s="1" t="str">
        <f>"A320 NEO"</f>
        <v>A320 NEO</v>
      </c>
      <c r="G44" s="1" t="str">
        <f t="shared" si="28"/>
        <v>Narrow-Body Turbofans</v>
      </c>
      <c r="H44" s="7" t="str">
        <f>""</f>
        <v/>
      </c>
      <c r="I44" s="7" t="str">
        <f>"150"</f>
        <v>150</v>
      </c>
      <c r="J44" s="7" t="str">
        <f>"117.45"</f>
        <v>117.45</v>
      </c>
      <c r="K44" s="7" t="str">
        <f>"1313"</f>
        <v>1313</v>
      </c>
      <c r="L44" s="7" t="str">
        <f>"123.26"</f>
        <v>123.26</v>
      </c>
      <c r="M44" s="7" t="str">
        <f>"38.58"</f>
        <v>38.58</v>
      </c>
      <c r="N44" s="7" t="str">
        <f>""</f>
        <v/>
      </c>
      <c r="O44" s="7" t="str">
        <f>""</f>
        <v/>
      </c>
      <c r="P44" s="7" t="str">
        <f>"146165"</f>
        <v>146165</v>
      </c>
      <c r="Q44" s="7" t="str">
        <f>""</f>
        <v/>
      </c>
      <c r="R44" s="1" t="str">
        <f>"2 LEAP-X PW1127G"</f>
        <v>2 LEAP-X PW1127G</v>
      </c>
      <c r="S44" s="1"/>
      <c r="T44" s="1"/>
      <c r="U44" s="1" t="e">
        <f t="shared" si="2"/>
        <v>#VALUE!</v>
      </c>
      <c r="V44" s="7" t="str">
        <f>"0.82"</f>
        <v>0.82</v>
      </c>
      <c r="W44" s="7" t="str">
        <f>"0.78"</f>
        <v>0.78</v>
      </c>
      <c r="X44" s="7" t="str">
        <f>""</f>
        <v/>
      </c>
      <c r="Y44" s="7" t="str">
        <f>""</f>
        <v/>
      </c>
      <c r="Z44" s="7" t="str">
        <f>""</f>
        <v/>
      </c>
      <c r="AA44" s="1" t="str">
        <f>""</f>
        <v/>
      </c>
    </row>
    <row r="45" spans="1:27" ht="19.95" customHeight="1">
      <c r="A45" s="3" t="str">
        <f t="shared" si="17"/>
        <v>Airbus S.A.S.</v>
      </c>
      <c r="B45" s="4" t="str">
        <f t="shared" si="17"/>
        <v>Airbus S.A.S.</v>
      </c>
      <c r="C45" s="3" t="str">
        <f t="shared" si="18"/>
        <v>Blagnac</v>
      </c>
      <c r="D45" s="3" t="str">
        <f>""</f>
        <v/>
      </c>
      <c r="E45" s="3" t="str">
        <f t="shared" si="19"/>
        <v>France</v>
      </c>
      <c r="F45" s="3" t="str">
        <f>"A320-200"</f>
        <v>A320-200</v>
      </c>
      <c r="G45" s="3" t="str">
        <f t="shared" si="28"/>
        <v>Narrow-Body Turbofans</v>
      </c>
      <c r="H45" s="8" t="str">
        <f>"2"</f>
        <v>2</v>
      </c>
      <c r="I45" s="8" t="str">
        <f>"150-180"</f>
        <v>150-180</v>
      </c>
      <c r="J45" s="8" t="str">
        <f>"111.1"</f>
        <v>111.1</v>
      </c>
      <c r="K45" s="8" t="str">
        <f>"1,320"</f>
        <v>1,320</v>
      </c>
      <c r="L45" s="8" t="str">
        <f>"123.3"</f>
        <v>123.3</v>
      </c>
      <c r="M45" s="8" t="str">
        <f>"38.7"</f>
        <v>38.7</v>
      </c>
      <c r="N45" s="8" t="str">
        <f>"92,800"</f>
        <v>92,800</v>
      </c>
      <c r="O45" s="8" t="str">
        <f>"169,800"</f>
        <v>169,800</v>
      </c>
      <c r="P45" s="8" t="str">
        <f>"142,200"</f>
        <v>142,200</v>
      </c>
      <c r="Q45" s="8" t="str">
        <f>"14,900"</f>
        <v>14,900</v>
      </c>
      <c r="R45" s="3" t="str">
        <f>"2 X CFM International CFM56-5B4 or IAE V2527-A5"</f>
        <v>2 X CFM International CFM56-5B4 or IAE V2527-A5</v>
      </c>
      <c r="S45" s="3"/>
      <c r="T45" s="3"/>
      <c r="U45" s="1">
        <f t="shared" si="2"/>
        <v>128.63636363636363</v>
      </c>
      <c r="V45" s="8" t="str">
        <f>"M 0.82"</f>
        <v>M 0.82</v>
      </c>
      <c r="W45" s="8" t="str">
        <f>"M 0.78"</f>
        <v>M 0.78</v>
      </c>
      <c r="X45" s="8" t="str">
        <f>"5,900"</f>
        <v>5,900</v>
      </c>
      <c r="Y45" s="8" t="str">
        <f>"4,800"</f>
        <v>4,800</v>
      </c>
      <c r="Z45" s="8" t="str">
        <f>"3,000"</f>
        <v>3,000</v>
      </c>
      <c r="AA45" s="3" t="str">
        <f>"In service 1998."</f>
        <v>In service 1998.</v>
      </c>
    </row>
    <row r="46" spans="1:27" ht="19.95" customHeight="1">
      <c r="A46" s="1" t="str">
        <f t="shared" si="17"/>
        <v>Airbus S.A.S.</v>
      </c>
      <c r="B46" s="2" t="str">
        <f t="shared" si="17"/>
        <v>Airbus S.A.S.</v>
      </c>
      <c r="C46" s="1" t="str">
        <f t="shared" si="18"/>
        <v>Blagnac</v>
      </c>
      <c r="D46" s="1" t="str">
        <f>""</f>
        <v/>
      </c>
      <c r="E46" s="1" t="str">
        <f t="shared" si="19"/>
        <v>France</v>
      </c>
      <c r="F46" s="1" t="str">
        <f>"A321 NEO"</f>
        <v>A321 NEO</v>
      </c>
      <c r="G46" s="1" t="str">
        <f t="shared" si="28"/>
        <v>Narrow-Body Turbofans</v>
      </c>
      <c r="H46" s="7" t="str">
        <f>""</f>
        <v/>
      </c>
      <c r="I46" s="7" t="str">
        <f>"185"</f>
        <v>185</v>
      </c>
      <c r="J46" s="7" t="str">
        <f>"117.45"</f>
        <v>117.45</v>
      </c>
      <c r="K46" s="7" t="str">
        <f>"1313"</f>
        <v>1313</v>
      </c>
      <c r="L46" s="7" t="str">
        <f>"146.03"</f>
        <v>146.03</v>
      </c>
      <c r="M46" s="7" t="str">
        <f>"38.58"</f>
        <v>38.58</v>
      </c>
      <c r="N46" s="7" t="str">
        <f>""</f>
        <v/>
      </c>
      <c r="O46" s="7" t="str">
        <f>""</f>
        <v/>
      </c>
      <c r="P46" s="7" t="str">
        <f>"171738.34"</f>
        <v>171738.34</v>
      </c>
      <c r="Q46" s="7" t="str">
        <f>""</f>
        <v/>
      </c>
      <c r="R46" s="1" t="str">
        <f>"2 LEAP-X PW1133G"</f>
        <v>2 LEAP-X PW1133G</v>
      </c>
      <c r="S46" s="1"/>
      <c r="T46" s="1"/>
      <c r="U46" s="1" t="e">
        <f t="shared" si="2"/>
        <v>#VALUE!</v>
      </c>
      <c r="V46" s="7" t="str">
        <f>"0.82"</f>
        <v>0.82</v>
      </c>
      <c r="W46" s="7" t="str">
        <f>""</f>
        <v/>
      </c>
      <c r="X46" s="7" t="str">
        <f>""</f>
        <v/>
      </c>
      <c r="Y46" s="7" t="str">
        <f>""</f>
        <v/>
      </c>
      <c r="Z46" s="7" t="str">
        <f>""</f>
        <v/>
      </c>
      <c r="AA46" s="1" t="str">
        <f>""</f>
        <v/>
      </c>
    </row>
    <row r="47" spans="1:27" ht="19.95" customHeight="1">
      <c r="A47" s="3" t="str">
        <f t="shared" si="17"/>
        <v>Airbus S.A.S.</v>
      </c>
      <c r="B47" s="4" t="str">
        <f t="shared" si="17"/>
        <v>Airbus S.A.S.</v>
      </c>
      <c r="C47" s="3" t="str">
        <f t="shared" si="18"/>
        <v>Blagnac</v>
      </c>
      <c r="D47" s="3" t="str">
        <f>""</f>
        <v/>
      </c>
      <c r="E47" s="3" t="str">
        <f t="shared" si="19"/>
        <v>France</v>
      </c>
      <c r="F47" s="3" t="str">
        <f>"A321-100"</f>
        <v>A321-100</v>
      </c>
      <c r="G47" s="3" t="str">
        <f t="shared" si="28"/>
        <v>Narrow-Body Turbofans</v>
      </c>
      <c r="H47" s="8" t="str">
        <f t="shared" ref="H47:H60" si="29">"2"</f>
        <v>2</v>
      </c>
      <c r="I47" s="8" t="str">
        <f>"185-220"</f>
        <v>185-220</v>
      </c>
      <c r="J47" s="8" t="str">
        <f>"111.1"</f>
        <v>111.1</v>
      </c>
      <c r="K47" s="8" t="str">
        <f>"1,320"</f>
        <v>1,320</v>
      </c>
      <c r="L47" s="8" t="str">
        <f>"146"</f>
        <v>146</v>
      </c>
      <c r="M47" s="8" t="str">
        <f>"38.7"</f>
        <v>38.7</v>
      </c>
      <c r="N47" s="8" t="str">
        <f>"106,300"</f>
        <v>106,300</v>
      </c>
      <c r="O47" s="8" t="str">
        <f>"183,000"</f>
        <v>183,000</v>
      </c>
      <c r="P47" s="8" t="str">
        <f>"162,000"</f>
        <v>162,000</v>
      </c>
      <c r="Q47" s="8" t="str">
        <f>"12,300"</f>
        <v>12,300</v>
      </c>
      <c r="R47" s="3" t="str">
        <f>"2 X CFM International CFM56-5B2 or IAE V2530-A5"</f>
        <v>2 X CFM International CFM56-5B2 or IAE V2530-A5</v>
      </c>
      <c r="S47" s="3"/>
      <c r="T47" s="3"/>
      <c r="U47" s="1">
        <f t="shared" si="2"/>
        <v>138.63636363636363</v>
      </c>
      <c r="V47" s="8" t="str">
        <f>"M 0.82"</f>
        <v>M 0.82</v>
      </c>
      <c r="W47" s="8" t="str">
        <f>"M 0.78"</f>
        <v>M 0.78</v>
      </c>
      <c r="X47" s="8" t="str">
        <f>"6,300"</f>
        <v>6,300</v>
      </c>
      <c r="Y47" s="8" t="str">
        <f>"5,000"</f>
        <v>5,000</v>
      </c>
      <c r="Z47" s="8" t="str">
        <f>"3,030"</f>
        <v>3,030</v>
      </c>
      <c r="AA47" s="3" t="str">
        <f>"In service 1994."</f>
        <v>In service 1994.</v>
      </c>
    </row>
    <row r="48" spans="1:27" ht="19.95" customHeight="1">
      <c r="A48" s="1" t="str">
        <f t="shared" ref="A48:B60" si="30">"Airbus S.A.S."</f>
        <v>Airbus S.A.S.</v>
      </c>
      <c r="B48" s="2" t="str">
        <f t="shared" si="30"/>
        <v>Airbus S.A.S.</v>
      </c>
      <c r="C48" s="1" t="str">
        <f t="shared" si="18"/>
        <v>Blagnac</v>
      </c>
      <c r="D48" s="1" t="str">
        <f>""</f>
        <v/>
      </c>
      <c r="E48" s="1" t="str">
        <f t="shared" si="19"/>
        <v>France</v>
      </c>
      <c r="F48" s="1" t="str">
        <f>"A321-200"</f>
        <v>A321-200</v>
      </c>
      <c r="G48" s="1" t="str">
        <f t="shared" si="28"/>
        <v>Narrow-Body Turbofans</v>
      </c>
      <c r="H48" s="7" t="str">
        <f t="shared" si="29"/>
        <v>2</v>
      </c>
      <c r="I48" s="7" t="str">
        <f>"185-220"</f>
        <v>185-220</v>
      </c>
      <c r="J48" s="7" t="str">
        <f>"111.1"</f>
        <v>111.1</v>
      </c>
      <c r="K48" s="7" t="str">
        <f>"1,320"</f>
        <v>1,320</v>
      </c>
      <c r="L48" s="7" t="str">
        <f>"146"</f>
        <v>146</v>
      </c>
      <c r="M48" s="7" t="str">
        <f>"38.7"</f>
        <v>38.7</v>
      </c>
      <c r="N48" s="7" t="str">
        <f>"106,300"</f>
        <v>106,300</v>
      </c>
      <c r="O48" s="7" t="str">
        <f>"206,100"</f>
        <v>206,100</v>
      </c>
      <c r="P48" s="7" t="str">
        <f>"171,500"</f>
        <v>171,500</v>
      </c>
      <c r="Q48" s="7" t="str">
        <f>"19,600"</f>
        <v>19,600</v>
      </c>
      <c r="R48" s="1" t="str">
        <f>"2 X CFM International CFM56-5B3 or IAE V2533-A5"</f>
        <v>2 X CFM International CFM56-5B3 or IAE V2533-A5</v>
      </c>
      <c r="S48" s="1"/>
      <c r="T48" s="1"/>
      <c r="U48" s="1">
        <f t="shared" si="2"/>
        <v>156.13636363636363</v>
      </c>
      <c r="V48" s="7" t="str">
        <f>"M 0.82"</f>
        <v>M 0.82</v>
      </c>
      <c r="W48" s="7" t="str">
        <f>"M 0.78"</f>
        <v>M 0.78</v>
      </c>
      <c r="X48" s="7" t="str">
        <f>"7,100"</f>
        <v>7,100</v>
      </c>
      <c r="Y48" s="7" t="str">
        <f>"5,200"</f>
        <v>5,200</v>
      </c>
      <c r="Z48" s="7" t="str">
        <f>"3,000"</f>
        <v>3,000</v>
      </c>
      <c r="AA48" s="1" t="str">
        <f>"In service 1997."</f>
        <v>In service 1997.</v>
      </c>
    </row>
    <row r="49" spans="1:27" ht="19.95" customHeight="1">
      <c r="A49" s="3" t="str">
        <f t="shared" si="30"/>
        <v>Airbus S.A.S.</v>
      </c>
      <c r="B49" s="4" t="str">
        <f t="shared" si="30"/>
        <v>Airbus S.A.S.</v>
      </c>
      <c r="C49" s="3" t="str">
        <f t="shared" si="18"/>
        <v>Blagnac</v>
      </c>
      <c r="D49" s="3" t="str">
        <f>""</f>
        <v/>
      </c>
      <c r="E49" s="3" t="str">
        <f t="shared" si="19"/>
        <v>France</v>
      </c>
      <c r="F49" s="3" t="str">
        <f>"A330-200"</f>
        <v>A330-200</v>
      </c>
      <c r="G49" s="3" t="str">
        <f t="shared" ref="G49:G60" si="31">"Wide-Body Turbofans"</f>
        <v>Wide-Body Turbofans</v>
      </c>
      <c r="H49" s="8" t="str">
        <f t="shared" si="29"/>
        <v>2</v>
      </c>
      <c r="I49" s="8" t="str">
        <f>"253-380"</f>
        <v>253-380</v>
      </c>
      <c r="J49" s="8" t="str">
        <f>"197.8"</f>
        <v>197.8</v>
      </c>
      <c r="K49" s="8" t="str">
        <f>"3,892"</f>
        <v>3,892</v>
      </c>
      <c r="L49" s="8" t="str">
        <f>"188.8"</f>
        <v>188.8</v>
      </c>
      <c r="M49" s="8" t="str">
        <f>"57.1"</f>
        <v>57.1</v>
      </c>
      <c r="N49" s="8" t="str">
        <f>"263,700"</f>
        <v>263,700</v>
      </c>
      <c r="O49" s="8" t="str">
        <f>"513,670"</f>
        <v>513,670</v>
      </c>
      <c r="P49" s="8" t="str">
        <f>"396,800"</f>
        <v>396,800</v>
      </c>
      <c r="Q49" s="8" t="str">
        <f>"56,200"</f>
        <v>56,200</v>
      </c>
      <c r="R49" s="3" t="str">
        <f>"2 X GE CF6-80E1 or PW4000 or Trent 700"</f>
        <v>2 X GE CF6-80E1 or PW4000 or Trent 700</v>
      </c>
      <c r="S49" s="3"/>
      <c r="T49" s="3"/>
      <c r="U49" s="1">
        <f t="shared" si="2"/>
        <v>131.98098663926001</v>
      </c>
      <c r="V49" s="8" t="str">
        <f t="shared" ref="V49:V55" si="32">"M 0.86"</f>
        <v>M 0.86</v>
      </c>
      <c r="W49" s="8" t="str">
        <f>"M 0.82"</f>
        <v>M 0.82</v>
      </c>
      <c r="X49" s="8" t="str">
        <f>"8,700"</f>
        <v>8,700</v>
      </c>
      <c r="Y49" s="8" t="str">
        <f>"5,723"</f>
        <v>5,723</v>
      </c>
      <c r="Z49" s="8" t="str">
        <f>"7,650"</f>
        <v>7,650</v>
      </c>
      <c r="AA49" s="3" t="str">
        <f>"First flight August 1997."</f>
        <v>First flight August 1997.</v>
      </c>
    </row>
    <row r="50" spans="1:27" ht="19.95" customHeight="1">
      <c r="A50" s="1" t="str">
        <f t="shared" si="30"/>
        <v>Airbus S.A.S.</v>
      </c>
      <c r="B50" s="2" t="str">
        <f t="shared" si="30"/>
        <v>Airbus S.A.S.</v>
      </c>
      <c r="C50" s="1" t="str">
        <f t="shared" si="18"/>
        <v>Blagnac</v>
      </c>
      <c r="D50" s="1" t="str">
        <f>""</f>
        <v/>
      </c>
      <c r="E50" s="1" t="str">
        <f t="shared" si="19"/>
        <v>France</v>
      </c>
      <c r="F50" s="1" t="str">
        <f>"A330-200F"</f>
        <v>A330-200F</v>
      </c>
      <c r="G50" s="1" t="str">
        <f t="shared" si="31"/>
        <v>Wide-Body Turbofans</v>
      </c>
      <c r="H50" s="7" t="str">
        <f t="shared" si="29"/>
        <v>2</v>
      </c>
      <c r="I50" s="7" t="str">
        <f>"253-380"</f>
        <v>253-380</v>
      </c>
      <c r="J50" s="7" t="str">
        <f>"192.1"</f>
        <v>192.1</v>
      </c>
      <c r="K50" s="7" t="str">
        <f>"3,890"</f>
        <v>3,890</v>
      </c>
      <c r="L50" s="7" t="str">
        <f>"193.7"</f>
        <v>193.7</v>
      </c>
      <c r="M50" s="7" t="str">
        <f>"55.4"</f>
        <v>55.4</v>
      </c>
      <c r="N50" s="7" t="str">
        <f>"240,300"</f>
        <v>240,300</v>
      </c>
      <c r="O50" s="7" t="str">
        <f>"513,670"</f>
        <v>513,670</v>
      </c>
      <c r="P50" s="7" t="str">
        <f>"412,300"</f>
        <v>412,300</v>
      </c>
      <c r="Q50" s="7" t="str">
        <f>"152,120"</f>
        <v>152,120</v>
      </c>
      <c r="R50" s="1" t="str">
        <f>"2 X PW4000 or Trent 700"</f>
        <v>2 X PW4000 or Trent 700</v>
      </c>
      <c r="S50" s="1"/>
      <c r="T50" s="1"/>
      <c r="U50" s="1">
        <f t="shared" si="2"/>
        <v>132.04884318766068</v>
      </c>
      <c r="V50" s="7" t="str">
        <f t="shared" si="32"/>
        <v>M 0.86</v>
      </c>
      <c r="W50" s="7" t="str">
        <f>"M 0.82"</f>
        <v>M 0.82</v>
      </c>
      <c r="X50" s="7" t="str">
        <f>""</f>
        <v/>
      </c>
      <c r="Y50" s="7" t="str">
        <f>""</f>
        <v/>
      </c>
      <c r="Z50" s="7" t="str">
        <f>"4,600"</f>
        <v>4,600</v>
      </c>
      <c r="AA50" s="1" t="str">
        <f>"Entry into service 2010."</f>
        <v>Entry into service 2010.</v>
      </c>
    </row>
    <row r="51" spans="1:27" ht="19.95" customHeight="1">
      <c r="A51" s="3" t="str">
        <f t="shared" si="30"/>
        <v>Airbus S.A.S.</v>
      </c>
      <c r="B51" s="4" t="str">
        <f t="shared" si="30"/>
        <v>Airbus S.A.S.</v>
      </c>
      <c r="C51" s="3" t="str">
        <f t="shared" si="18"/>
        <v>Blagnac</v>
      </c>
      <c r="D51" s="3" t="str">
        <f>""</f>
        <v/>
      </c>
      <c r="E51" s="3" t="str">
        <f t="shared" si="19"/>
        <v>France</v>
      </c>
      <c r="F51" s="3" t="str">
        <f>"A330-300"</f>
        <v>A330-300</v>
      </c>
      <c r="G51" s="3" t="str">
        <f t="shared" si="31"/>
        <v>Wide-Body Turbofans</v>
      </c>
      <c r="H51" s="8" t="str">
        <f t="shared" si="29"/>
        <v>2</v>
      </c>
      <c r="I51" s="8" t="str">
        <f>"295-440"</f>
        <v>295-440</v>
      </c>
      <c r="J51" s="8" t="str">
        <f>"197.8"</f>
        <v>197.8</v>
      </c>
      <c r="K51" s="8" t="str">
        <f>"3,890"</f>
        <v>3,890</v>
      </c>
      <c r="L51" s="8" t="str">
        <f>"208.1"</f>
        <v>208.1</v>
      </c>
      <c r="M51" s="8" t="str">
        <f>"55.3"</f>
        <v>55.3</v>
      </c>
      <c r="N51" s="8" t="str">
        <f>"274,650"</f>
        <v>274,650</v>
      </c>
      <c r="O51" s="8" t="str">
        <f>"513,670"</f>
        <v>513,670</v>
      </c>
      <c r="P51" s="8" t="str">
        <f>"412,300"</f>
        <v>412,300</v>
      </c>
      <c r="Q51" s="8" t="str">
        <f>"58,150"</f>
        <v>58,150</v>
      </c>
      <c r="R51" s="3" t="str">
        <f>"2 X GE CF6-80E1 or PW4000 or Trent 700"</f>
        <v>2 X GE CF6-80E1 or PW4000 or Trent 700</v>
      </c>
      <c r="S51" s="3"/>
      <c r="T51" s="3"/>
      <c r="U51" s="1">
        <f t="shared" si="2"/>
        <v>132.04884318766068</v>
      </c>
      <c r="V51" s="8" t="str">
        <f t="shared" si="32"/>
        <v>M 0.86</v>
      </c>
      <c r="W51" s="8" t="str">
        <f>"M 0.82"</f>
        <v>M 0.82</v>
      </c>
      <c r="X51" s="8" t="str">
        <f>"8,700"</f>
        <v>8,700</v>
      </c>
      <c r="Y51" s="8" t="str">
        <f>"5,873"</f>
        <v>5,873</v>
      </c>
      <c r="Z51" s="8" t="str">
        <f>"6,450"</f>
        <v>6,450</v>
      </c>
      <c r="AA51" s="3" t="str">
        <f>"478,400-lb.-gross-weight version out of production."</f>
        <v>478,400-lb.-gross-weight version out of production.</v>
      </c>
    </row>
    <row r="52" spans="1:27" ht="19.95" customHeight="1">
      <c r="A52" s="1" t="str">
        <f t="shared" si="30"/>
        <v>Airbus S.A.S.</v>
      </c>
      <c r="B52" s="2" t="str">
        <f t="shared" si="30"/>
        <v>Airbus S.A.S.</v>
      </c>
      <c r="C52" s="1" t="str">
        <f t="shared" si="18"/>
        <v>Blagnac</v>
      </c>
      <c r="D52" s="1" t="str">
        <f>""</f>
        <v/>
      </c>
      <c r="E52" s="1" t="str">
        <f t="shared" si="19"/>
        <v>France</v>
      </c>
      <c r="F52" s="1" t="str">
        <f>"A340-200"</f>
        <v>A340-200</v>
      </c>
      <c r="G52" s="1" t="str">
        <f t="shared" si="31"/>
        <v>Wide-Body Turbofans</v>
      </c>
      <c r="H52" s="7" t="str">
        <f t="shared" si="29"/>
        <v>2</v>
      </c>
      <c r="I52" s="7" t="str">
        <f>"261-380"</f>
        <v>261-380</v>
      </c>
      <c r="J52" s="7" t="str">
        <f>"197.8"</f>
        <v>197.8</v>
      </c>
      <c r="K52" s="7" t="str">
        <f>"3,890"</f>
        <v>3,890</v>
      </c>
      <c r="L52" s="7" t="str">
        <f>"194.8"</f>
        <v>194.8</v>
      </c>
      <c r="M52" s="7" t="str">
        <f>"54.9"</f>
        <v>54.9</v>
      </c>
      <c r="N52" s="7" t="str">
        <f>"284,400"</f>
        <v>284,400</v>
      </c>
      <c r="O52" s="7" t="str">
        <f>"606,270"</f>
        <v>606,270</v>
      </c>
      <c r="P52" s="7" t="str">
        <f>"407,900"</f>
        <v>407,900</v>
      </c>
      <c r="Q52" s="7" t="str">
        <f>"44,180"</f>
        <v>44,180</v>
      </c>
      <c r="R52" s="1" t="str">
        <f>"4 X CFM International CFM56-5C"</f>
        <v>4 X CFM International CFM56-5C</v>
      </c>
      <c r="S52" s="1"/>
      <c r="T52" s="1"/>
      <c r="U52" s="1">
        <f t="shared" si="2"/>
        <v>155.85347043701799</v>
      </c>
      <c r="V52" s="7" t="str">
        <f t="shared" si="32"/>
        <v>M 0.86</v>
      </c>
      <c r="W52" s="7" t="str">
        <f>"M 0.82"</f>
        <v>M 0.82</v>
      </c>
      <c r="X52" s="7" t="str">
        <f>"10,043"</f>
        <v>10,043</v>
      </c>
      <c r="Y52" s="7" t="str">
        <f>"6,115"</f>
        <v>6,115</v>
      </c>
      <c r="Z52" s="7" t="str">
        <f>"9,210"</f>
        <v>9,210</v>
      </c>
      <c r="AA52" s="1" t="str">
        <f>""</f>
        <v/>
      </c>
    </row>
    <row r="53" spans="1:27" ht="19.95" customHeight="1">
      <c r="A53" s="3" t="str">
        <f t="shared" si="30"/>
        <v>Airbus S.A.S.</v>
      </c>
      <c r="B53" s="4" t="str">
        <f t="shared" si="30"/>
        <v>Airbus S.A.S.</v>
      </c>
      <c r="C53" s="3" t="str">
        <f t="shared" si="18"/>
        <v>Blagnac</v>
      </c>
      <c r="D53" s="3" t="str">
        <f>""</f>
        <v/>
      </c>
      <c r="E53" s="3" t="str">
        <f t="shared" si="19"/>
        <v>France</v>
      </c>
      <c r="F53" s="3" t="str">
        <f>"A340-300"</f>
        <v>A340-300</v>
      </c>
      <c r="G53" s="3" t="str">
        <f t="shared" si="31"/>
        <v>Wide-Body Turbofans</v>
      </c>
      <c r="H53" s="8" t="str">
        <f t="shared" si="29"/>
        <v>2</v>
      </c>
      <c r="I53" s="8" t="str">
        <f>"295-440"</f>
        <v>295-440</v>
      </c>
      <c r="J53" s="8" t="str">
        <f>"197.8"</f>
        <v>197.8</v>
      </c>
      <c r="K53" s="8" t="str">
        <f>"3,890"</f>
        <v>3,890</v>
      </c>
      <c r="L53" s="8" t="str">
        <f>"208.1"</f>
        <v>208.1</v>
      </c>
      <c r="M53" s="8" t="str">
        <f>"55.3"</f>
        <v>55.3</v>
      </c>
      <c r="N53" s="8" t="str">
        <f>"288,500"</f>
        <v>288,500</v>
      </c>
      <c r="O53" s="8" t="str">
        <f>"609,580"</f>
        <v>609,580</v>
      </c>
      <c r="P53" s="8" t="str">
        <f>"423,280"</f>
        <v>423,280</v>
      </c>
      <c r="Q53" s="8" t="str">
        <f>"50,500"</f>
        <v>50,500</v>
      </c>
      <c r="R53" s="3" t="str">
        <f>"4 X CFM International CFM56-5C"</f>
        <v>4 X CFM International CFM56-5C</v>
      </c>
      <c r="S53" s="3"/>
      <c r="T53" s="3"/>
      <c r="U53" s="1">
        <f t="shared" si="2"/>
        <v>156.7043701799486</v>
      </c>
      <c r="V53" s="8" t="str">
        <f t="shared" si="32"/>
        <v>M 0.86</v>
      </c>
      <c r="W53" s="8" t="str">
        <f>"M 0.82"</f>
        <v>M 0.82</v>
      </c>
      <c r="X53" s="8" t="str">
        <f>"10,450"</f>
        <v>10,450</v>
      </c>
      <c r="Y53" s="8" t="str">
        <f>"6,432"</f>
        <v>6,432</v>
      </c>
      <c r="Z53" s="8" t="str">
        <f>"8,640"</f>
        <v>8,640</v>
      </c>
      <c r="AA53" s="3" t="str">
        <f>"Deliveries began 1993."</f>
        <v>Deliveries began 1993.</v>
      </c>
    </row>
    <row r="54" spans="1:27" ht="19.95" customHeight="1">
      <c r="A54" s="1" t="str">
        <f t="shared" si="30"/>
        <v>Airbus S.A.S.</v>
      </c>
      <c r="B54" s="2" t="str">
        <f t="shared" si="30"/>
        <v>Airbus S.A.S.</v>
      </c>
      <c r="C54" s="1" t="str">
        <f t="shared" si="18"/>
        <v>Blagnac</v>
      </c>
      <c r="D54" s="1" t="str">
        <f>""</f>
        <v/>
      </c>
      <c r="E54" s="1" t="str">
        <f t="shared" si="19"/>
        <v>France</v>
      </c>
      <c r="F54" s="1" t="str">
        <f>"A340-500"</f>
        <v>A340-500</v>
      </c>
      <c r="G54" s="1" t="str">
        <f t="shared" si="31"/>
        <v>Wide-Body Turbofans</v>
      </c>
      <c r="H54" s="7" t="str">
        <f t="shared" si="29"/>
        <v>2</v>
      </c>
      <c r="I54" s="7" t="str">
        <f>"313-375"</f>
        <v>313-375</v>
      </c>
      <c r="J54" s="7" t="str">
        <f>"208.2"</f>
        <v>208.2</v>
      </c>
      <c r="K54" s="7" t="str">
        <f>"4,729"</f>
        <v>4,729</v>
      </c>
      <c r="L54" s="7" t="str">
        <f>"222.8"</f>
        <v>222.8</v>
      </c>
      <c r="M54" s="7" t="str">
        <f>"56.1"</f>
        <v>56.1</v>
      </c>
      <c r="N54" s="7" t="str">
        <f>"376,800"</f>
        <v>376,800</v>
      </c>
      <c r="O54" s="7" t="str">
        <f>"811,300"</f>
        <v>811,300</v>
      </c>
      <c r="P54" s="7" t="str">
        <f>"529,100"</f>
        <v>529,100</v>
      </c>
      <c r="Q54" s="7" t="str">
        <f>"53,660"</f>
        <v>53,660</v>
      </c>
      <c r="R54" s="1" t="str">
        <f>"4 X Rolls-Royce Trent 500"</f>
        <v>4 X Rolls-Royce Trent 500</v>
      </c>
      <c r="S54" s="1"/>
      <c r="T54" s="1"/>
      <c r="U54" s="1">
        <f t="shared" si="2"/>
        <v>171.55846902093467</v>
      </c>
      <c r="V54" s="7" t="str">
        <f t="shared" si="32"/>
        <v>M 0.86</v>
      </c>
      <c r="W54" s="7" t="str">
        <f>"M 0.83"</f>
        <v>M 0.83</v>
      </c>
      <c r="X54" s="7" t="str">
        <f>"10,450"</f>
        <v>10,450</v>
      </c>
      <c r="Y54" s="7" t="str">
        <f>"6,601"</f>
        <v>6,601</v>
      </c>
      <c r="Z54" s="7" t="str">
        <f>"9,960"</f>
        <v>9,960</v>
      </c>
      <c r="AA54" s="1" t="str">
        <f>"First flight 2002."</f>
        <v>First flight 2002.</v>
      </c>
    </row>
    <row r="55" spans="1:27" ht="19.95" customHeight="1">
      <c r="A55" s="3" t="str">
        <f t="shared" si="30"/>
        <v>Airbus S.A.S.</v>
      </c>
      <c r="B55" s="4" t="str">
        <f t="shared" si="30"/>
        <v>Airbus S.A.S.</v>
      </c>
      <c r="C55" s="3" t="str">
        <f t="shared" si="18"/>
        <v>Blagnac</v>
      </c>
      <c r="D55" s="3" t="str">
        <f>""</f>
        <v/>
      </c>
      <c r="E55" s="3" t="str">
        <f t="shared" si="19"/>
        <v>France</v>
      </c>
      <c r="F55" s="3" t="str">
        <f>"A340-600"</f>
        <v>A340-600</v>
      </c>
      <c r="G55" s="3" t="str">
        <f t="shared" si="31"/>
        <v>Wide-Body Turbofans</v>
      </c>
      <c r="H55" s="8" t="str">
        <f t="shared" si="29"/>
        <v>2</v>
      </c>
      <c r="I55" s="8" t="str">
        <f>"380-475"</f>
        <v>380-475</v>
      </c>
      <c r="J55" s="8" t="str">
        <f>"208.2"</f>
        <v>208.2</v>
      </c>
      <c r="K55" s="8" t="str">
        <f>"4,707"</f>
        <v>4,707</v>
      </c>
      <c r="L55" s="8" t="str">
        <f>"247.1"</f>
        <v>247.1</v>
      </c>
      <c r="M55" s="8" t="str">
        <f>"56.9"</f>
        <v>56.9</v>
      </c>
      <c r="N55" s="8" t="str">
        <f>"392,000"</f>
        <v>392,000</v>
      </c>
      <c r="O55" s="8" t="str">
        <f>"811,300"</f>
        <v>811,300</v>
      </c>
      <c r="P55" s="8" t="str">
        <f>"571,800"</f>
        <v>571,800</v>
      </c>
      <c r="Q55" s="8" t="str">
        <f>"68,550"</f>
        <v>68,550</v>
      </c>
      <c r="R55" s="3" t="str">
        <f>"4 X Rolls-Royce Trent 500"</f>
        <v>4 X Rolls-Royce Trent 500</v>
      </c>
      <c r="S55" s="3"/>
      <c r="T55" s="3"/>
      <c r="U55" s="1">
        <f t="shared" si="2"/>
        <v>172.36031442532399</v>
      </c>
      <c r="V55" s="8" t="str">
        <f t="shared" si="32"/>
        <v>M 0.86</v>
      </c>
      <c r="W55" s="8" t="str">
        <f>"M 0.83"</f>
        <v>M 0.83</v>
      </c>
      <c r="X55" s="8" t="str">
        <f>"10,450"</f>
        <v>10,450</v>
      </c>
      <c r="Y55" s="8" t="str">
        <f>"6,905"</f>
        <v>6,905</v>
      </c>
      <c r="Z55" s="8" t="str">
        <f>"8,810"</f>
        <v>8,810</v>
      </c>
      <c r="AA55" s="3" t="str">
        <f>"First flight 2001."</f>
        <v>First flight 2001.</v>
      </c>
    </row>
    <row r="56" spans="1:27" ht="19.95" customHeight="1">
      <c r="A56" s="1" t="str">
        <f t="shared" si="30"/>
        <v>Airbus S.A.S.</v>
      </c>
      <c r="B56" s="2" t="str">
        <f t="shared" si="30"/>
        <v>Airbus S.A.S.</v>
      </c>
      <c r="C56" s="1" t="str">
        <f t="shared" si="18"/>
        <v>Blagnac</v>
      </c>
      <c r="D56" s="1" t="str">
        <f>""</f>
        <v/>
      </c>
      <c r="E56" s="1" t="str">
        <f t="shared" si="19"/>
        <v>France</v>
      </c>
      <c r="F56" s="1" t="str">
        <f>"A350-1000"</f>
        <v>A350-1000</v>
      </c>
      <c r="G56" s="1" t="str">
        <f t="shared" si="31"/>
        <v>Wide-Body Turbofans</v>
      </c>
      <c r="H56" s="7" t="str">
        <f t="shared" si="29"/>
        <v>2</v>
      </c>
      <c r="I56" s="7" t="str">
        <f>"350-495"</f>
        <v>350-495</v>
      </c>
      <c r="J56" s="7" t="str">
        <f>"212.5"</f>
        <v>212.5</v>
      </c>
      <c r="K56" s="7" t="str">
        <f>"4,750"</f>
        <v>4,750</v>
      </c>
      <c r="L56" s="7" t="str">
        <f>"242.2"</f>
        <v>242.2</v>
      </c>
      <c r="M56" s="7" t="str">
        <f>"54.5"</f>
        <v>54.5</v>
      </c>
      <c r="N56" s="7" t="str">
        <f>""</f>
        <v/>
      </c>
      <c r="O56" s="7" t="str">
        <f>"650,000"</f>
        <v>650,000</v>
      </c>
      <c r="P56" s="7" t="str">
        <f>"503,800"</f>
        <v>503,800</v>
      </c>
      <c r="Q56" s="7" t="str">
        <f>""</f>
        <v/>
      </c>
      <c r="R56" s="1" t="str">
        <f>"2 X Rolls-Royce Trent XWB-92"</f>
        <v>2 X Rolls-Royce Trent XWB-92</v>
      </c>
      <c r="S56" s="1"/>
      <c r="T56" s="1"/>
      <c r="U56" s="1">
        <f t="shared" si="2"/>
        <v>136.84210526315789</v>
      </c>
      <c r="V56" s="7" t="str">
        <f>"M 0.89"</f>
        <v>M 0.89</v>
      </c>
      <c r="W56" s="7" t="str">
        <f>"M 0.85"</f>
        <v>M 0.85</v>
      </c>
      <c r="X56" s="7" t="str">
        <f>""</f>
        <v/>
      </c>
      <c r="Y56" s="7" t="str">
        <f>""</f>
        <v/>
      </c>
      <c r="Z56" s="7" t="str">
        <f>"9,196"</f>
        <v>9,196</v>
      </c>
      <c r="AA56" s="1" t="str">
        <f>"Entry into service 2015."</f>
        <v>Entry into service 2015.</v>
      </c>
    </row>
    <row r="57" spans="1:27" ht="19.95" customHeight="1">
      <c r="A57" s="3" t="str">
        <f t="shared" si="30"/>
        <v>Airbus S.A.S.</v>
      </c>
      <c r="B57" s="4" t="str">
        <f t="shared" si="30"/>
        <v>Airbus S.A.S.</v>
      </c>
      <c r="C57" s="3" t="str">
        <f t="shared" si="18"/>
        <v>Blagnac</v>
      </c>
      <c r="D57" s="3" t="str">
        <f>""</f>
        <v/>
      </c>
      <c r="E57" s="3" t="str">
        <f t="shared" si="19"/>
        <v>France</v>
      </c>
      <c r="F57" s="3" t="str">
        <f>"A350-800"</f>
        <v>A350-800</v>
      </c>
      <c r="G57" s="3" t="str">
        <f t="shared" si="31"/>
        <v>Wide-Body Turbofans</v>
      </c>
      <c r="H57" s="8" t="str">
        <f t="shared" si="29"/>
        <v>2</v>
      </c>
      <c r="I57" s="8" t="str">
        <f>"270-440"</f>
        <v>270-440</v>
      </c>
      <c r="J57" s="8" t="str">
        <f>"212.5"</f>
        <v>212.5</v>
      </c>
      <c r="K57" s="8" t="str">
        <f>"4,740"</f>
        <v>4,740</v>
      </c>
      <c r="L57" s="8" t="str">
        <f>"199.1"</f>
        <v>199.1</v>
      </c>
      <c r="M57" s="8" t="str">
        <f>"56.2"</f>
        <v>56.2</v>
      </c>
      <c r="N57" s="8" t="str">
        <f>"374,800"</f>
        <v>374,800</v>
      </c>
      <c r="O57" s="8" t="str">
        <f>"540,120"</f>
        <v>540,120</v>
      </c>
      <c r="P57" s="8" t="str">
        <f>"407,900"</f>
        <v>407,900</v>
      </c>
      <c r="Q57" s="8" t="str">
        <f>""</f>
        <v/>
      </c>
      <c r="R57" s="3" t="str">
        <f>"2 X Rolls-Royce Trent XWB-74"</f>
        <v>2 X Rolls-Royce Trent XWB-74</v>
      </c>
      <c r="S57" s="3"/>
      <c r="T57" s="3"/>
      <c r="U57" s="1">
        <f t="shared" si="2"/>
        <v>113.9493670886076</v>
      </c>
      <c r="V57" s="8" t="str">
        <f>"M 0.89"</f>
        <v>M 0.89</v>
      </c>
      <c r="W57" s="8" t="str">
        <f>"M 0.85"</f>
        <v>M 0.85</v>
      </c>
      <c r="X57" s="8" t="str">
        <f>""</f>
        <v/>
      </c>
      <c r="Y57" s="8" t="str">
        <f>""</f>
        <v/>
      </c>
      <c r="Z57" s="8" t="str">
        <f>"8,500"</f>
        <v>8,500</v>
      </c>
      <c r="AA57" s="3" t="str">
        <f>"Entry into service 2014."</f>
        <v>Entry into service 2014.</v>
      </c>
    </row>
    <row r="58" spans="1:27" ht="19.95" customHeight="1">
      <c r="A58" s="1" t="str">
        <f t="shared" si="30"/>
        <v>Airbus S.A.S.</v>
      </c>
      <c r="B58" s="2" t="str">
        <f t="shared" si="30"/>
        <v>Airbus S.A.S.</v>
      </c>
      <c r="C58" s="1" t="str">
        <f t="shared" si="18"/>
        <v>Blagnac</v>
      </c>
      <c r="D58" s="1" t="str">
        <f>""</f>
        <v/>
      </c>
      <c r="E58" s="1" t="str">
        <f t="shared" si="19"/>
        <v>France</v>
      </c>
      <c r="F58" s="1" t="str">
        <f>"A350-900"</f>
        <v>A350-900</v>
      </c>
      <c r="G58" s="1" t="str">
        <f t="shared" si="31"/>
        <v>Wide-Body Turbofans</v>
      </c>
      <c r="H58" s="7" t="str">
        <f t="shared" si="29"/>
        <v>2</v>
      </c>
      <c r="I58" s="7" t="str">
        <f>"314-440"</f>
        <v>314-440</v>
      </c>
      <c r="J58" s="7" t="str">
        <f>"212.4"</f>
        <v>212.4</v>
      </c>
      <c r="K58" s="7" t="str">
        <f>"4,740"</f>
        <v>4,740</v>
      </c>
      <c r="L58" s="7" t="str">
        <f>"219.9"</f>
        <v>219.9</v>
      </c>
      <c r="M58" s="7" t="str">
        <f>"56.2"</f>
        <v>56.2</v>
      </c>
      <c r="N58" s="7" t="str">
        <f>"397,900"</f>
        <v>397,900</v>
      </c>
      <c r="O58" s="7" t="str">
        <f>"584,225"</f>
        <v>584,225</v>
      </c>
      <c r="P58" s="7" t="str">
        <f>"451,900"</f>
        <v>451,900</v>
      </c>
      <c r="Q58" s="7" t="str">
        <f>""</f>
        <v/>
      </c>
      <c r="R58" s="1" t="str">
        <f>"2 X Rolls-Royce Trent XWB-83"</f>
        <v>2 X Rolls-Royce Trent XWB-83</v>
      </c>
      <c r="S58" s="1"/>
      <c r="T58" s="1"/>
      <c r="U58" s="1">
        <f t="shared" si="2"/>
        <v>123.2542194092827</v>
      </c>
      <c r="V58" s="7" t="str">
        <f>"M 0.85"</f>
        <v>M 0.85</v>
      </c>
      <c r="W58" s="7" t="str">
        <f>"M 0.85"</f>
        <v>M 0.85</v>
      </c>
      <c r="X58" s="7" t="str">
        <f>""</f>
        <v/>
      </c>
      <c r="Y58" s="7" t="str">
        <f>""</f>
        <v/>
      </c>
      <c r="Z58" s="7" t="str">
        <f>"8,300"</f>
        <v>8,300</v>
      </c>
      <c r="AA58" s="1" t="str">
        <f>"Entry into service 2013."</f>
        <v>Entry into service 2013.</v>
      </c>
    </row>
    <row r="59" spans="1:27" ht="19.95" customHeight="1">
      <c r="A59" s="3" t="str">
        <f t="shared" si="30"/>
        <v>Airbus S.A.S.</v>
      </c>
      <c r="B59" s="4" t="str">
        <f t="shared" si="30"/>
        <v>Airbus S.A.S.</v>
      </c>
      <c r="C59" s="3" t="str">
        <f t="shared" si="18"/>
        <v>Blagnac</v>
      </c>
      <c r="D59" s="3" t="str">
        <f>""</f>
        <v/>
      </c>
      <c r="E59" s="3" t="str">
        <f t="shared" si="19"/>
        <v>France</v>
      </c>
      <c r="F59" s="3" t="str">
        <f>"A380-800"</f>
        <v>A380-800</v>
      </c>
      <c r="G59" s="3" t="str">
        <f t="shared" si="31"/>
        <v>Wide-Body Turbofans</v>
      </c>
      <c r="H59" s="8" t="str">
        <f t="shared" si="29"/>
        <v>2</v>
      </c>
      <c r="I59" s="8" t="str">
        <f>"525-953"</f>
        <v>525-953</v>
      </c>
      <c r="J59" s="8" t="str">
        <f>"261.8"</f>
        <v>261.8</v>
      </c>
      <c r="K59" s="8" t="str">
        <f>"9,104"</f>
        <v>9,104</v>
      </c>
      <c r="L59" s="8" t="str">
        <f>"239.3"</f>
        <v>239.3</v>
      </c>
      <c r="M59" s="8" t="str">
        <f>"79.7"</f>
        <v>79.7</v>
      </c>
      <c r="N59" s="8" t="str">
        <f>"611,000"</f>
        <v>611,000</v>
      </c>
      <c r="O59" s="8" t="str">
        <f>"1,234,600"</f>
        <v>1,234,600</v>
      </c>
      <c r="P59" s="8" t="str">
        <f>"851,000"</f>
        <v>851,000</v>
      </c>
      <c r="Q59" s="8" t="str">
        <f>""</f>
        <v/>
      </c>
      <c r="R59" s="3" t="str">
        <f>"4 X GE/Pratt &amp; Whitney GP7270 or Rolls-Royce Trent 970"</f>
        <v>4 X GE/Pratt &amp; Whitney GP7270 or Rolls-Royce Trent 970</v>
      </c>
      <c r="S59" s="3"/>
      <c r="T59" s="3"/>
      <c r="U59" s="1">
        <f t="shared" si="2"/>
        <v>135.61072056239016</v>
      </c>
      <c r="V59" s="8" t="str">
        <f>"M 0.89"</f>
        <v>M 0.89</v>
      </c>
      <c r="W59" s="8" t="str">
        <f>"M 0.85"</f>
        <v>M 0.85</v>
      </c>
      <c r="X59" s="8" t="str">
        <f>"9,350"</f>
        <v>9,350</v>
      </c>
      <c r="Y59" s="8" t="str">
        <f>"6,200"</f>
        <v>6,200</v>
      </c>
      <c r="Z59" s="8" t="str">
        <f>"8,000"</f>
        <v>8,000</v>
      </c>
      <c r="AA59" s="3" t="str">
        <f>"Entry into service 2007. First flight April 2005."</f>
        <v>Entry into service 2007. First flight April 2005.</v>
      </c>
    </row>
    <row r="60" spans="1:27" ht="19.95" customHeight="1">
      <c r="A60" s="1" t="str">
        <f t="shared" si="30"/>
        <v>Airbus S.A.S.</v>
      </c>
      <c r="B60" s="2" t="str">
        <f t="shared" si="30"/>
        <v>Airbus S.A.S.</v>
      </c>
      <c r="C60" s="1" t="str">
        <f t="shared" si="18"/>
        <v>Blagnac</v>
      </c>
      <c r="D60" s="1" t="str">
        <f>""</f>
        <v/>
      </c>
      <c r="E60" s="1" t="str">
        <f t="shared" si="19"/>
        <v>France</v>
      </c>
      <c r="F60" s="1" t="str">
        <f>"A380-800F"</f>
        <v>A380-800F</v>
      </c>
      <c r="G60" s="1" t="str">
        <f t="shared" si="31"/>
        <v>Wide-Body Turbofans</v>
      </c>
      <c r="H60" s="7" t="str">
        <f t="shared" si="29"/>
        <v>2</v>
      </c>
      <c r="I60" s="7" t="str">
        <f>"0"</f>
        <v>0</v>
      </c>
      <c r="J60" s="7" t="str">
        <f>"261.8"</f>
        <v>261.8</v>
      </c>
      <c r="K60" s="7" t="str">
        <f>"9,104"</f>
        <v>9,104</v>
      </c>
      <c r="L60" s="7" t="str">
        <f>"239.3"</f>
        <v>239.3</v>
      </c>
      <c r="M60" s="7" t="str">
        <f>"79.7"</f>
        <v>79.7</v>
      </c>
      <c r="N60" s="7" t="str">
        <f>"556,000"</f>
        <v>556,000</v>
      </c>
      <c r="O60" s="7" t="str">
        <f>"1,285,300"</f>
        <v>1,285,300</v>
      </c>
      <c r="P60" s="7" t="str">
        <f>"941,000"</f>
        <v>941,000</v>
      </c>
      <c r="Q60" s="7" t="str">
        <f>"296,000"</f>
        <v>296,000</v>
      </c>
      <c r="R60" s="1" t="str">
        <f>"4 X GE/Pratt &amp; Whitney GP7277 or Rolls-Royce Trent 977"</f>
        <v>4 X GE/Pratt &amp; Whitney GP7277 or Rolls-Royce Trent 977</v>
      </c>
      <c r="S60" s="1"/>
      <c r="T60" s="1"/>
      <c r="U60" s="1">
        <f t="shared" si="2"/>
        <v>141.17970123022846</v>
      </c>
      <c r="V60" s="7" t="str">
        <f>"M 0.89"</f>
        <v>M 0.89</v>
      </c>
      <c r="W60" s="7" t="str">
        <f>"M 0.85"</f>
        <v>M 0.85</v>
      </c>
      <c r="X60" s="7" t="str">
        <f>"9,350"</f>
        <v>9,350</v>
      </c>
      <c r="Y60" s="7" t="str">
        <f>"6,700"</f>
        <v>6,700</v>
      </c>
      <c r="Z60" s="7" t="str">
        <f>"6,500"</f>
        <v>6,500</v>
      </c>
      <c r="AA60" s="1" t="str">
        <f>"Development put on hold."</f>
        <v>Development put on hold.</v>
      </c>
    </row>
    <row r="61" spans="1:27" ht="19.95" customHeight="1">
      <c r="A61" s="3" t="str">
        <f>"B-N Group Ltd."</f>
        <v>B-N Group Ltd.</v>
      </c>
      <c r="B61" s="4" t="str">
        <f>"B-N Group Ltd."</f>
        <v>B-N Group Ltd.</v>
      </c>
      <c r="C61" s="3" t="str">
        <f>"Bembridge"</f>
        <v>Bembridge</v>
      </c>
      <c r="D61" s="3" t="str">
        <f>"Isle of Wight"</f>
        <v>Isle of Wight</v>
      </c>
      <c r="E61" s="3" t="str">
        <f>"England"</f>
        <v>England</v>
      </c>
      <c r="F61" s="3" t="str">
        <f>"BN2T Islander"</f>
        <v>BN2T Islander</v>
      </c>
      <c r="G61" s="3" t="str">
        <f>"Turboprops"</f>
        <v>Turboprops</v>
      </c>
      <c r="H61" s="8" t="str">
        <f>"1/2"</f>
        <v>1/2</v>
      </c>
      <c r="I61" s="8" t="str">
        <f>"10"</f>
        <v>10</v>
      </c>
      <c r="J61" s="8" t="str">
        <f>"49"</f>
        <v>49</v>
      </c>
      <c r="K61" s="8" t="str">
        <f>"325"</f>
        <v>325</v>
      </c>
      <c r="L61" s="8" t="str">
        <f>"35.7"</f>
        <v>35.7</v>
      </c>
      <c r="M61" s="8" t="str">
        <f>"12.1"</f>
        <v>12.1</v>
      </c>
      <c r="N61" s="8" t="str">
        <f>"4,040"</f>
        <v>4,040</v>
      </c>
      <c r="O61" s="8" t="str">
        <f>"7,000"</f>
        <v>7,000</v>
      </c>
      <c r="P61" s="8" t="str">
        <f>"6,800"</f>
        <v>6,800</v>
      </c>
      <c r="Q61" s="8" t="str">
        <f>"2,560"</f>
        <v>2,560</v>
      </c>
      <c r="R61" s="3" t="str">
        <f>"2 X Rolls-Royce 250-B17C"</f>
        <v>2 X Rolls-Royce 250-B17C</v>
      </c>
      <c r="S61" s="3"/>
      <c r="T61" s="3"/>
      <c r="U61" s="1">
        <f t="shared" si="2"/>
        <v>21.53846153846154</v>
      </c>
      <c r="V61" s="8" t="str">
        <f>"196"</f>
        <v>196</v>
      </c>
      <c r="W61" s="8" t="str">
        <f>"172"</f>
        <v>172</v>
      </c>
      <c r="X61" s="8" t="str">
        <f>"1,250"</f>
        <v>1,250</v>
      </c>
      <c r="Y61" s="8" t="str">
        <f>"1,110"</f>
        <v>1,110</v>
      </c>
      <c r="Z61" s="8" t="str">
        <f>"840"</f>
        <v>840</v>
      </c>
      <c r="AA61" s="3" t="str">
        <f>"BN2B is reciprocating engine-powered version."</f>
        <v>BN2B is reciprocating engine-powered version.</v>
      </c>
    </row>
    <row r="62" spans="1:27" ht="19.95" customHeight="1">
      <c r="A62" s="1" t="str">
        <f t="shared" ref="A62:B74" si="33">"BAE Systems Regional Aircraft"</f>
        <v>BAE Systems Regional Aircraft</v>
      </c>
      <c r="B62" s="2" t="str">
        <f t="shared" si="33"/>
        <v>BAE Systems Regional Aircraft</v>
      </c>
      <c r="C62" s="1" t="str">
        <f t="shared" ref="C62:C74" si="34">"Prestwick"</f>
        <v>Prestwick</v>
      </c>
      <c r="D62" s="1" t="str">
        <f t="shared" ref="D62:D74" si="35">"Ayrshire"</f>
        <v>Ayrshire</v>
      </c>
      <c r="E62" s="1" t="str">
        <f t="shared" ref="E62:E74" si="36">"Scotland"</f>
        <v>Scotland</v>
      </c>
      <c r="F62" s="1" t="str">
        <f>"ATP"</f>
        <v>ATP</v>
      </c>
      <c r="G62" s="1" t="str">
        <f>"Turboprops"</f>
        <v>Turboprops</v>
      </c>
      <c r="H62" s="7" t="str">
        <f t="shared" ref="H62:H75" si="37">"2"</f>
        <v>2</v>
      </c>
      <c r="I62" s="7" t="str">
        <f>"64-72"</f>
        <v>64-72</v>
      </c>
      <c r="J62" s="7" t="str">
        <f>"100.5"</f>
        <v>100.5</v>
      </c>
      <c r="K62" s="7" t="str">
        <f>"842.8"</f>
        <v>842.8</v>
      </c>
      <c r="L62" s="7" t="str">
        <f>"85.3"</f>
        <v>85.3</v>
      </c>
      <c r="M62" s="7" t="str">
        <f>"24.2"</f>
        <v>24.2</v>
      </c>
      <c r="N62" s="7" t="str">
        <f>"33,000"</f>
        <v>33,000</v>
      </c>
      <c r="O62" s="7" t="str">
        <f>"52,200"</f>
        <v>52,200</v>
      </c>
      <c r="P62" s="7" t="str">
        <f>"51,000"</f>
        <v>51,000</v>
      </c>
      <c r="Q62" s="7" t="str">
        <f>"6,555"</f>
        <v>6,555</v>
      </c>
      <c r="R62" s="1" t="str">
        <f>"2 X Pratt &amp; Whitney Canada PW126A"</f>
        <v>2 X Pratt &amp; Whitney Canada PW126A</v>
      </c>
      <c r="S62" s="1"/>
      <c r="T62" s="1"/>
      <c r="U62" s="1">
        <f t="shared" si="2"/>
        <v>61.93640246796393</v>
      </c>
      <c r="V62" s="7" t="str">
        <f>"301"</f>
        <v>301</v>
      </c>
      <c r="W62" s="7" t="str">
        <f>"265"</f>
        <v>265</v>
      </c>
      <c r="X62" s="7" t="str">
        <f>"4,430"</f>
        <v>4,430</v>
      </c>
      <c r="Y62" s="7" t="str">
        <f>"3,700"</f>
        <v>3,700</v>
      </c>
      <c r="Z62" s="7" t="str">
        <f>"530"</f>
        <v>530</v>
      </c>
      <c r="AA62" s="1" t="str">
        <f>"Out of production."</f>
        <v>Out of production.</v>
      </c>
    </row>
    <row r="63" spans="1:27" ht="19.95" customHeight="1">
      <c r="A63" s="3" t="str">
        <f t="shared" si="33"/>
        <v>BAE Systems Regional Aircraft</v>
      </c>
      <c r="B63" s="4" t="str">
        <f t="shared" si="33"/>
        <v>BAE Systems Regional Aircraft</v>
      </c>
      <c r="C63" s="3" t="str">
        <f t="shared" si="34"/>
        <v>Prestwick</v>
      </c>
      <c r="D63" s="3" t="str">
        <f t="shared" si="35"/>
        <v>Ayrshire</v>
      </c>
      <c r="E63" s="3" t="str">
        <f t="shared" si="36"/>
        <v>Scotland</v>
      </c>
      <c r="F63" s="3" t="str">
        <f>"ATP Freighter"</f>
        <v>ATP Freighter</v>
      </c>
      <c r="G63" s="3" t="str">
        <f>"Turboprops"</f>
        <v>Turboprops</v>
      </c>
      <c r="H63" s="8" t="str">
        <f t="shared" si="37"/>
        <v>2</v>
      </c>
      <c r="I63" s="8" t="str">
        <f>"0"</f>
        <v>0</v>
      </c>
      <c r="J63" s="8" t="str">
        <f>"100.5"</f>
        <v>100.5</v>
      </c>
      <c r="K63" s="8" t="str">
        <f>"842.8"</f>
        <v>842.8</v>
      </c>
      <c r="L63" s="8" t="str">
        <f>"85.3"</f>
        <v>85.3</v>
      </c>
      <c r="M63" s="8" t="str">
        <f>"24.2"</f>
        <v>24.2</v>
      </c>
      <c r="N63" s="8" t="str">
        <f>"30,225"</f>
        <v>30,225</v>
      </c>
      <c r="O63" s="8" t="str">
        <f>"52,200"</f>
        <v>52,200</v>
      </c>
      <c r="P63" s="8" t="str">
        <f>"51,000"</f>
        <v>51,000</v>
      </c>
      <c r="Q63" s="8" t="str">
        <f>"17,775"</f>
        <v>17,775</v>
      </c>
      <c r="R63" s="3" t="str">
        <f>"2 X Pratt &amp; Whitney Canada PW126A"</f>
        <v>2 X Pratt &amp; Whitney Canada PW126A</v>
      </c>
      <c r="S63" s="3"/>
      <c r="T63" s="3"/>
      <c r="U63" s="1">
        <f t="shared" si="2"/>
        <v>61.93640246796393</v>
      </c>
      <c r="V63" s="8" t="str">
        <f>"301"</f>
        <v>301</v>
      </c>
      <c r="W63" s="8" t="str">
        <f>"265"</f>
        <v>265</v>
      </c>
      <c r="X63" s="8" t="str">
        <f>"4,430"</f>
        <v>4,430</v>
      </c>
      <c r="Y63" s="8" t="str">
        <f>"3,700"</f>
        <v>3,700</v>
      </c>
      <c r="Z63" s="8" t="str">
        <f>"530"</f>
        <v>530</v>
      </c>
      <c r="AA63" s="3" t="str">
        <f>"Total bulk vol. 2,615 cu. ft."</f>
        <v>Total bulk vol. 2,615 cu. ft.</v>
      </c>
    </row>
    <row r="64" spans="1:27" ht="19.95" customHeight="1">
      <c r="A64" s="1" t="str">
        <f t="shared" si="33"/>
        <v>BAE Systems Regional Aircraft</v>
      </c>
      <c r="B64" s="2" t="str">
        <f t="shared" si="33"/>
        <v>BAE Systems Regional Aircraft</v>
      </c>
      <c r="C64" s="1" t="str">
        <f t="shared" si="34"/>
        <v>Prestwick</v>
      </c>
      <c r="D64" s="1" t="str">
        <f t="shared" si="35"/>
        <v>Ayrshire</v>
      </c>
      <c r="E64" s="1" t="str">
        <f t="shared" si="36"/>
        <v>Scotland</v>
      </c>
      <c r="F64" s="1" t="str">
        <f>"Avro RJ100"</f>
        <v>Avro RJ100</v>
      </c>
      <c r="G64" s="1" t="str">
        <f t="shared" ref="G64:G69" si="38">"Narrow-Body Turbofans"</f>
        <v>Narrow-Body Turbofans</v>
      </c>
      <c r="H64" s="7" t="str">
        <f t="shared" si="37"/>
        <v>2</v>
      </c>
      <c r="I64" s="7" t="str">
        <f>"95-112"</f>
        <v>95-112</v>
      </c>
      <c r="J64" s="7" t="str">
        <f t="shared" ref="J64:J69" si="39">"86.4"</f>
        <v>86.4</v>
      </c>
      <c r="K64" s="7" t="str">
        <f t="shared" ref="K64:K69" si="40">"832"</f>
        <v>832</v>
      </c>
      <c r="L64" s="7" t="str">
        <f>"101.7"</f>
        <v>101.7</v>
      </c>
      <c r="M64" s="7" t="str">
        <f>"28.2"</f>
        <v>28.2</v>
      </c>
      <c r="N64" s="7" t="str">
        <f>"56,500"</f>
        <v>56,500</v>
      </c>
      <c r="O64" s="7" t="str">
        <f>"101,500"</f>
        <v>101,500</v>
      </c>
      <c r="P64" s="7" t="str">
        <f>"88,500"</f>
        <v>88,500</v>
      </c>
      <c r="Q64" s="7" t="str">
        <f>"8,370"</f>
        <v>8,370</v>
      </c>
      <c r="R64" s="1" t="str">
        <f>"4 X Honeywell LF507-1F"</f>
        <v>4 X Honeywell LF507-1F</v>
      </c>
      <c r="S64" s="1"/>
      <c r="T64" s="1"/>
      <c r="U64" s="1">
        <f t="shared" si="2"/>
        <v>121.99519230769231</v>
      </c>
      <c r="V64" s="7" t="str">
        <f t="shared" ref="V64:V69" si="41">"500"</f>
        <v>500</v>
      </c>
      <c r="W64" s="7" t="str">
        <f t="shared" ref="W64:W69" si="42">"M 0.70"</f>
        <v>M 0.70</v>
      </c>
      <c r="X64" s="7" t="str">
        <f>"4,330"</f>
        <v>4,330</v>
      </c>
      <c r="Y64" s="7" t="str">
        <f>"3,970"</f>
        <v>3,970</v>
      </c>
      <c r="Z64" s="7" t="str">
        <f>"1,500"</f>
        <v>1,500</v>
      </c>
      <c r="AA64" s="1" t="str">
        <f t="shared" ref="AA64:AA74" si="43">"Out of production."</f>
        <v>Out of production.</v>
      </c>
    </row>
    <row r="65" spans="1:27" ht="19.95" customHeight="1">
      <c r="A65" s="3" t="str">
        <f t="shared" si="33"/>
        <v>BAE Systems Regional Aircraft</v>
      </c>
      <c r="B65" s="4" t="str">
        <f t="shared" si="33"/>
        <v>BAE Systems Regional Aircraft</v>
      </c>
      <c r="C65" s="3" t="str">
        <f t="shared" si="34"/>
        <v>Prestwick</v>
      </c>
      <c r="D65" s="3" t="str">
        <f t="shared" si="35"/>
        <v>Ayrshire</v>
      </c>
      <c r="E65" s="3" t="str">
        <f t="shared" si="36"/>
        <v>Scotland</v>
      </c>
      <c r="F65" s="3" t="str">
        <f>"Avro RJ70"</f>
        <v>Avro RJ70</v>
      </c>
      <c r="G65" s="3" t="str">
        <f t="shared" si="38"/>
        <v>Narrow-Body Turbofans</v>
      </c>
      <c r="H65" s="8" t="str">
        <f t="shared" si="37"/>
        <v>2</v>
      </c>
      <c r="I65" s="8" t="str">
        <f>"70-85"</f>
        <v>70-85</v>
      </c>
      <c r="J65" s="8" t="str">
        <f t="shared" si="39"/>
        <v>86.4</v>
      </c>
      <c r="K65" s="8" t="str">
        <f t="shared" si="40"/>
        <v>832</v>
      </c>
      <c r="L65" s="8" t="str">
        <f>"85.8"</f>
        <v>85.8</v>
      </c>
      <c r="M65" s="8" t="str">
        <f>"28.3"</f>
        <v>28.3</v>
      </c>
      <c r="N65" s="8" t="str">
        <f>"52,700"</f>
        <v>52,700</v>
      </c>
      <c r="O65" s="8" t="str">
        <f>"95,000"</f>
        <v>95,000</v>
      </c>
      <c r="P65" s="8" t="str">
        <f>"83,500"</f>
        <v>83,500</v>
      </c>
      <c r="Q65" s="8" t="str">
        <f>"5,000"</f>
        <v>5,000</v>
      </c>
      <c r="R65" s="3" t="str">
        <f>"4 X Honeywell LF507-1F"</f>
        <v>4 X Honeywell LF507-1F</v>
      </c>
      <c r="S65" s="3"/>
      <c r="T65" s="3"/>
      <c r="U65" s="1">
        <f t="shared" si="2"/>
        <v>114.18269230769231</v>
      </c>
      <c r="V65" s="8" t="str">
        <f t="shared" si="41"/>
        <v>500</v>
      </c>
      <c r="W65" s="8" t="str">
        <f t="shared" si="42"/>
        <v>M 0.70</v>
      </c>
      <c r="X65" s="8" t="str">
        <f>"3,610"</f>
        <v>3,610</v>
      </c>
      <c r="Y65" s="8" t="str">
        <f>"3,550"</f>
        <v>3,550</v>
      </c>
      <c r="Z65" s="8" t="str">
        <f>"1,800"</f>
        <v>1,800</v>
      </c>
      <c r="AA65" s="3" t="str">
        <f t="shared" si="43"/>
        <v>Out of production.</v>
      </c>
    </row>
    <row r="66" spans="1:27" ht="19.95" customHeight="1">
      <c r="A66" s="1" t="str">
        <f t="shared" si="33"/>
        <v>BAE Systems Regional Aircraft</v>
      </c>
      <c r="B66" s="2" t="str">
        <f t="shared" si="33"/>
        <v>BAE Systems Regional Aircraft</v>
      </c>
      <c r="C66" s="1" t="str">
        <f t="shared" si="34"/>
        <v>Prestwick</v>
      </c>
      <c r="D66" s="1" t="str">
        <f t="shared" si="35"/>
        <v>Ayrshire</v>
      </c>
      <c r="E66" s="1" t="str">
        <f t="shared" si="36"/>
        <v>Scotland</v>
      </c>
      <c r="F66" s="1" t="str">
        <f>"Avro RJ85"</f>
        <v>Avro RJ85</v>
      </c>
      <c r="G66" s="1" t="str">
        <f t="shared" si="38"/>
        <v>Narrow-Body Turbofans</v>
      </c>
      <c r="H66" s="7" t="str">
        <f t="shared" si="37"/>
        <v>2</v>
      </c>
      <c r="I66" s="7" t="str">
        <f>"80-100"</f>
        <v>80-100</v>
      </c>
      <c r="J66" s="7" t="str">
        <f t="shared" si="39"/>
        <v>86.4</v>
      </c>
      <c r="K66" s="7" t="str">
        <f t="shared" si="40"/>
        <v>832</v>
      </c>
      <c r="L66" s="7" t="str">
        <f>"93.7"</f>
        <v>93.7</v>
      </c>
      <c r="M66" s="7" t="str">
        <f>"28.3"</f>
        <v>28.3</v>
      </c>
      <c r="N66" s="7" t="str">
        <f>"54,500"</f>
        <v>54,500</v>
      </c>
      <c r="O66" s="7" t="str">
        <f>"97,000"</f>
        <v>97,000</v>
      </c>
      <c r="P66" s="7" t="str">
        <f>"85,000"</f>
        <v>85,000</v>
      </c>
      <c r="Q66" s="7" t="str">
        <f>"6,670"</f>
        <v>6,670</v>
      </c>
      <c r="R66" s="1" t="str">
        <f>"4 X Honeywell LF507-1F"</f>
        <v>4 X Honeywell LF507-1F</v>
      </c>
      <c r="S66" s="1"/>
      <c r="T66" s="1"/>
      <c r="U66" s="1">
        <f t="shared" si="2"/>
        <v>116.58653846153847</v>
      </c>
      <c r="V66" s="7" t="str">
        <f t="shared" si="41"/>
        <v>500</v>
      </c>
      <c r="W66" s="7" t="str">
        <f t="shared" si="42"/>
        <v>M 0.70</v>
      </c>
      <c r="X66" s="7" t="str">
        <f>"3,840"</f>
        <v>3,840</v>
      </c>
      <c r="Y66" s="7" t="str">
        <f>"3,730"</f>
        <v>3,730</v>
      </c>
      <c r="Z66" s="7" t="str">
        <f>"1,600"</f>
        <v>1,600</v>
      </c>
      <c r="AA66" s="1" t="str">
        <f t="shared" si="43"/>
        <v>Out of production.</v>
      </c>
    </row>
    <row r="67" spans="1:27" ht="19.95" customHeight="1">
      <c r="A67" s="3" t="str">
        <f t="shared" si="33"/>
        <v>BAE Systems Regional Aircraft</v>
      </c>
      <c r="B67" s="4" t="str">
        <f t="shared" si="33"/>
        <v>BAE Systems Regional Aircraft</v>
      </c>
      <c r="C67" s="3" t="str">
        <f t="shared" si="34"/>
        <v>Prestwick</v>
      </c>
      <c r="D67" s="3" t="str">
        <f t="shared" si="35"/>
        <v>Ayrshire</v>
      </c>
      <c r="E67" s="3" t="str">
        <f t="shared" si="36"/>
        <v>Scotland</v>
      </c>
      <c r="F67" s="3" t="str">
        <f>"BAe 146-100"</f>
        <v>BAe 146-100</v>
      </c>
      <c r="G67" s="3" t="str">
        <f t="shared" si="38"/>
        <v>Narrow-Body Turbofans</v>
      </c>
      <c r="H67" s="8" t="str">
        <f t="shared" si="37"/>
        <v>2</v>
      </c>
      <c r="I67" s="8" t="str">
        <f>"70-85"</f>
        <v>70-85</v>
      </c>
      <c r="J67" s="8" t="str">
        <f t="shared" si="39"/>
        <v>86.4</v>
      </c>
      <c r="K67" s="8" t="str">
        <f t="shared" si="40"/>
        <v>832</v>
      </c>
      <c r="L67" s="8" t="str">
        <f>"85.8"</f>
        <v>85.8</v>
      </c>
      <c r="M67" s="8" t="str">
        <f>"28.3"</f>
        <v>28.3</v>
      </c>
      <c r="N67" s="8" t="str">
        <f>"51,500"</f>
        <v>51,500</v>
      </c>
      <c r="O67" s="8" t="str">
        <f>"84,000"</f>
        <v>84,000</v>
      </c>
      <c r="P67" s="8" t="str">
        <f>"77,500"</f>
        <v>77,500</v>
      </c>
      <c r="Q67" s="8" t="str">
        <f>"5,000"</f>
        <v>5,000</v>
      </c>
      <c r="R67" s="3" t="str">
        <f>"4 X Honeywell ALF502R-5"</f>
        <v>4 X Honeywell ALF502R-5</v>
      </c>
      <c r="S67" s="3"/>
      <c r="T67" s="3"/>
      <c r="U67" s="1">
        <f t="shared" si="2"/>
        <v>100.96153846153847</v>
      </c>
      <c r="V67" s="8" t="str">
        <f t="shared" si="41"/>
        <v>500</v>
      </c>
      <c r="W67" s="8" t="str">
        <f t="shared" si="42"/>
        <v>M 0.70</v>
      </c>
      <c r="X67" s="8" t="str">
        <f>"3,650"</f>
        <v>3,650</v>
      </c>
      <c r="Y67" s="8" t="str">
        <f>"3,500"</f>
        <v>3,500</v>
      </c>
      <c r="Z67" s="8" t="str">
        <f>"1,200"</f>
        <v>1,200</v>
      </c>
      <c r="AA67" s="3" t="str">
        <f t="shared" si="43"/>
        <v>Out of production.</v>
      </c>
    </row>
    <row r="68" spans="1:27" ht="19.95" customHeight="1">
      <c r="A68" s="1" t="str">
        <f t="shared" si="33"/>
        <v>BAE Systems Regional Aircraft</v>
      </c>
      <c r="B68" s="2" t="str">
        <f t="shared" si="33"/>
        <v>BAE Systems Regional Aircraft</v>
      </c>
      <c r="C68" s="1" t="str">
        <f t="shared" si="34"/>
        <v>Prestwick</v>
      </c>
      <c r="D68" s="1" t="str">
        <f t="shared" si="35"/>
        <v>Ayrshire</v>
      </c>
      <c r="E68" s="1" t="str">
        <f t="shared" si="36"/>
        <v>Scotland</v>
      </c>
      <c r="F68" s="1" t="str">
        <f>"BAe 146-200"</f>
        <v>BAe 146-200</v>
      </c>
      <c r="G68" s="1" t="str">
        <f t="shared" si="38"/>
        <v>Narrow-Body Turbofans</v>
      </c>
      <c r="H68" s="7" t="str">
        <f t="shared" si="37"/>
        <v>2</v>
      </c>
      <c r="I68" s="7" t="str">
        <f>"80-100"</f>
        <v>80-100</v>
      </c>
      <c r="J68" s="7" t="str">
        <f t="shared" si="39"/>
        <v>86.4</v>
      </c>
      <c r="K68" s="7" t="str">
        <f t="shared" si="40"/>
        <v>832</v>
      </c>
      <c r="L68" s="7" t="str">
        <f>"93.7"</f>
        <v>93.7</v>
      </c>
      <c r="M68" s="7" t="str">
        <f>"28.3"</f>
        <v>28.3</v>
      </c>
      <c r="N68" s="7" t="str">
        <f>"52,600"</f>
        <v>52,600</v>
      </c>
      <c r="O68" s="7" t="str">
        <f>"93,000"</f>
        <v>93,000</v>
      </c>
      <c r="P68" s="7" t="str">
        <f>"81,000"</f>
        <v>81,000</v>
      </c>
      <c r="Q68" s="7" t="str">
        <f>"6,670"</f>
        <v>6,670</v>
      </c>
      <c r="R68" s="1" t="str">
        <f>"4 X Honeywell ALF502R-5"</f>
        <v>4 X Honeywell ALF502R-5</v>
      </c>
      <c r="S68" s="1"/>
      <c r="T68" s="1"/>
      <c r="U68" s="1">
        <f t="shared" si="2"/>
        <v>111.77884615384616</v>
      </c>
      <c r="V68" s="7" t="str">
        <f t="shared" si="41"/>
        <v>500</v>
      </c>
      <c r="W68" s="7" t="str">
        <f t="shared" si="42"/>
        <v>M 0.70</v>
      </c>
      <c r="X68" s="7" t="str">
        <f>"3,880"</f>
        <v>3,880</v>
      </c>
      <c r="Y68" s="7" t="str">
        <f>"3,700"</f>
        <v>3,700</v>
      </c>
      <c r="Z68" s="7" t="str">
        <f>"1,300"</f>
        <v>1,300</v>
      </c>
      <c r="AA68" s="1" t="str">
        <f t="shared" si="43"/>
        <v>Out of production.</v>
      </c>
    </row>
    <row r="69" spans="1:27" ht="19.95" customHeight="1">
      <c r="A69" s="3" t="str">
        <f t="shared" si="33"/>
        <v>BAE Systems Regional Aircraft</v>
      </c>
      <c r="B69" s="4" t="str">
        <f t="shared" si="33"/>
        <v>BAE Systems Regional Aircraft</v>
      </c>
      <c r="C69" s="3" t="str">
        <f t="shared" si="34"/>
        <v>Prestwick</v>
      </c>
      <c r="D69" s="3" t="str">
        <f t="shared" si="35"/>
        <v>Ayrshire</v>
      </c>
      <c r="E69" s="3" t="str">
        <f t="shared" si="36"/>
        <v>Scotland</v>
      </c>
      <c r="F69" s="3" t="str">
        <f>"BAe 146-300"</f>
        <v>BAe 146-300</v>
      </c>
      <c r="G69" s="3" t="str">
        <f t="shared" si="38"/>
        <v>Narrow-Body Turbofans</v>
      </c>
      <c r="H69" s="8" t="str">
        <f t="shared" si="37"/>
        <v>2</v>
      </c>
      <c r="I69" s="8" t="str">
        <f>"95-112"</f>
        <v>95-112</v>
      </c>
      <c r="J69" s="8" t="str">
        <f t="shared" si="39"/>
        <v>86.4</v>
      </c>
      <c r="K69" s="8" t="str">
        <f t="shared" si="40"/>
        <v>832</v>
      </c>
      <c r="L69" s="8" t="str">
        <f>"101.7"</f>
        <v>101.7</v>
      </c>
      <c r="M69" s="8" t="str">
        <f>"28.2"</f>
        <v>28.2</v>
      </c>
      <c r="N69" s="8" t="str">
        <f>"54,500"</f>
        <v>54,500</v>
      </c>
      <c r="O69" s="8" t="str">
        <f>"97,500"</f>
        <v>97,500</v>
      </c>
      <c r="P69" s="8" t="str">
        <f>"84,500"</f>
        <v>84,500</v>
      </c>
      <c r="Q69" s="8" t="str">
        <f>"8,370"</f>
        <v>8,370</v>
      </c>
      <c r="R69" s="3" t="str">
        <f>"4 X Honeywell ALF502R-5"</f>
        <v>4 X Honeywell ALF502R-5</v>
      </c>
      <c r="S69" s="3"/>
      <c r="T69" s="3"/>
      <c r="U69" s="1">
        <f t="shared" si="2"/>
        <v>117.1875</v>
      </c>
      <c r="V69" s="8" t="str">
        <f t="shared" si="41"/>
        <v>500</v>
      </c>
      <c r="W69" s="8" t="str">
        <f t="shared" si="42"/>
        <v>M 0.70</v>
      </c>
      <c r="X69" s="8" t="str">
        <f>"4,670"</f>
        <v>4,670</v>
      </c>
      <c r="Y69" s="8" t="str">
        <f>"3,950"</f>
        <v>3,950</v>
      </c>
      <c r="Z69" s="8" t="str">
        <f>"1,300"</f>
        <v>1,300</v>
      </c>
      <c r="AA69" s="3" t="str">
        <f t="shared" si="43"/>
        <v>Out of production.</v>
      </c>
    </row>
    <row r="70" spans="1:27" ht="19.95" customHeight="1">
      <c r="A70" s="1" t="str">
        <f t="shared" si="33"/>
        <v>BAE Systems Regional Aircraft</v>
      </c>
      <c r="B70" s="2" t="str">
        <f t="shared" si="33"/>
        <v>BAE Systems Regional Aircraft</v>
      </c>
      <c r="C70" s="1" t="str">
        <f t="shared" si="34"/>
        <v>Prestwick</v>
      </c>
      <c r="D70" s="1" t="str">
        <f t="shared" si="35"/>
        <v>Ayrshire</v>
      </c>
      <c r="E70" s="1" t="str">
        <f t="shared" si="36"/>
        <v>Scotland</v>
      </c>
      <c r="F70" s="1" t="str">
        <f>"HS.748 Series 2A"</f>
        <v>HS.748 Series 2A</v>
      </c>
      <c r="G70" s="1" t="str">
        <f>"Turboprops"</f>
        <v>Turboprops</v>
      </c>
      <c r="H70" s="7" t="str">
        <f t="shared" si="37"/>
        <v>2</v>
      </c>
      <c r="I70" s="7" t="str">
        <f>"44-58"</f>
        <v>44-58</v>
      </c>
      <c r="J70" s="7" t="str">
        <f>"98.5"</f>
        <v>98.5</v>
      </c>
      <c r="K70" s="7" t="str">
        <f>"766"</f>
        <v>766</v>
      </c>
      <c r="L70" s="7" t="str">
        <f>"67"</f>
        <v>67</v>
      </c>
      <c r="M70" s="7" t="str">
        <f>"24.8"</f>
        <v>24.8</v>
      </c>
      <c r="N70" s="7" t="str">
        <f>"26,976"</f>
        <v>26,976</v>
      </c>
      <c r="O70" s="7" t="str">
        <f>"46,500"</f>
        <v>46,500</v>
      </c>
      <c r="P70" s="7" t="str">
        <f>"43,000"</f>
        <v>43,000</v>
      </c>
      <c r="Q70" s="7" t="str">
        <f>""</f>
        <v/>
      </c>
      <c r="R70" s="1" t="str">
        <f>"2 X Rolls-Royce Dart 7 Mk. 535"</f>
        <v>2 X Rolls-Royce Dart 7 Mk. 535</v>
      </c>
      <c r="S70" s="1"/>
      <c r="T70" s="1"/>
      <c r="U70" s="1">
        <f t="shared" si="2"/>
        <v>60.704960835509141</v>
      </c>
      <c r="V70" s="7" t="str">
        <f>"278"</f>
        <v>278</v>
      </c>
      <c r="W70" s="7" t="str">
        <f>""</f>
        <v/>
      </c>
      <c r="X70" s="7" t="str">
        <f>""</f>
        <v/>
      </c>
      <c r="Y70" s="7" t="str">
        <f>""</f>
        <v/>
      </c>
      <c r="Z70" s="7" t="str">
        <f>""</f>
        <v/>
      </c>
      <c r="AA70" s="1" t="str">
        <f t="shared" si="43"/>
        <v>Out of production.</v>
      </c>
    </row>
    <row r="71" spans="1:27" ht="19.95" customHeight="1">
      <c r="A71" s="3" t="str">
        <f t="shared" si="33"/>
        <v>BAE Systems Regional Aircraft</v>
      </c>
      <c r="B71" s="4" t="str">
        <f t="shared" si="33"/>
        <v>BAE Systems Regional Aircraft</v>
      </c>
      <c r="C71" s="3" t="str">
        <f t="shared" si="34"/>
        <v>Prestwick</v>
      </c>
      <c r="D71" s="3" t="str">
        <f t="shared" si="35"/>
        <v>Ayrshire</v>
      </c>
      <c r="E71" s="3" t="str">
        <f t="shared" si="36"/>
        <v>Scotland</v>
      </c>
      <c r="F71" s="3" t="str">
        <f>"HS.748 Series 2B"</f>
        <v>HS.748 Series 2B</v>
      </c>
      <c r="G71" s="3" t="str">
        <f>"Turboprops"</f>
        <v>Turboprops</v>
      </c>
      <c r="H71" s="8" t="str">
        <f t="shared" si="37"/>
        <v>2</v>
      </c>
      <c r="I71" s="8" t="str">
        <f>"44-58"</f>
        <v>44-58</v>
      </c>
      <c r="J71" s="8" t="str">
        <f>"102.5"</f>
        <v>102.5</v>
      </c>
      <c r="K71" s="8" t="str">
        <f>"829"</f>
        <v>829</v>
      </c>
      <c r="L71" s="8" t="str">
        <f>"67"</f>
        <v>67</v>
      </c>
      <c r="M71" s="8" t="str">
        <f>"24.8"</f>
        <v>24.8</v>
      </c>
      <c r="N71" s="8" t="str">
        <f>"27,025"</f>
        <v>27,025</v>
      </c>
      <c r="O71" s="8" t="str">
        <f>"46,500"</f>
        <v>46,500</v>
      </c>
      <c r="P71" s="8" t="str">
        <f>"43,000"</f>
        <v>43,000</v>
      </c>
      <c r="Q71" s="8" t="str">
        <f>""</f>
        <v/>
      </c>
      <c r="R71" s="3" t="str">
        <f>"2 X Rolls-Royce Dart Mk. 536-2"</f>
        <v>2 X Rolls-Royce Dart Mk. 536-2</v>
      </c>
      <c r="S71" s="3"/>
      <c r="T71" s="3"/>
      <c r="U71" s="1">
        <f t="shared" si="2"/>
        <v>56.09167671893848</v>
      </c>
      <c r="V71" s="8" t="str">
        <f>"280"</f>
        <v>280</v>
      </c>
      <c r="W71" s="8" t="str">
        <f>""</f>
        <v/>
      </c>
      <c r="X71" s="8" t="str">
        <f>""</f>
        <v/>
      </c>
      <c r="Y71" s="8" t="str">
        <f>""</f>
        <v/>
      </c>
      <c r="Z71" s="8" t="str">
        <f>""</f>
        <v/>
      </c>
      <c r="AA71" s="3" t="str">
        <f t="shared" si="43"/>
        <v>Out of production.</v>
      </c>
    </row>
    <row r="72" spans="1:27" ht="19.95" customHeight="1">
      <c r="A72" s="1" t="str">
        <f t="shared" si="33"/>
        <v>BAE Systems Regional Aircraft</v>
      </c>
      <c r="B72" s="2" t="str">
        <f t="shared" si="33"/>
        <v>BAE Systems Regional Aircraft</v>
      </c>
      <c r="C72" s="1" t="str">
        <f t="shared" si="34"/>
        <v>Prestwick</v>
      </c>
      <c r="D72" s="1" t="str">
        <f t="shared" si="35"/>
        <v>Ayrshire</v>
      </c>
      <c r="E72" s="1" t="str">
        <f t="shared" si="36"/>
        <v>Scotland</v>
      </c>
      <c r="F72" s="1" t="str">
        <f>"Jetstream 31"</f>
        <v>Jetstream 31</v>
      </c>
      <c r="G72" s="1" t="str">
        <f>"Turboprops"</f>
        <v>Turboprops</v>
      </c>
      <c r="H72" s="7" t="str">
        <f t="shared" si="37"/>
        <v>2</v>
      </c>
      <c r="I72" s="7" t="str">
        <f>"19"</f>
        <v>19</v>
      </c>
      <c r="J72" s="7" t="str">
        <f>"52"</f>
        <v>52</v>
      </c>
      <c r="K72" s="7" t="str">
        <f>"271.3"</f>
        <v>271.3</v>
      </c>
      <c r="L72" s="7" t="str">
        <f>"47.1"</f>
        <v>47.1</v>
      </c>
      <c r="M72" s="7" t="str">
        <f>"17.8"</f>
        <v>17.8</v>
      </c>
      <c r="N72" s="7" t="str">
        <f>"10,200"</f>
        <v>10,200</v>
      </c>
      <c r="O72" s="7" t="str">
        <f>"15,562"</f>
        <v>15,562</v>
      </c>
      <c r="P72" s="7" t="str">
        <f>"14,900"</f>
        <v>14,900</v>
      </c>
      <c r="Q72" s="7" t="str">
        <f>"1,063"</f>
        <v>1,063</v>
      </c>
      <c r="R72" s="1" t="str">
        <f>"2 X Honeywell TPE331-10 UGA"</f>
        <v>2 X Honeywell TPE331-10 UGA</v>
      </c>
      <c r="S72" s="1"/>
      <c r="T72" s="1"/>
      <c r="U72" s="1">
        <f t="shared" si="2"/>
        <v>57.360855141909326</v>
      </c>
      <c r="V72" s="7" t="str">
        <f>"293"</f>
        <v>293</v>
      </c>
      <c r="W72" s="7" t="str">
        <f>"293"</f>
        <v>293</v>
      </c>
      <c r="X72" s="7" t="str">
        <f>"4,800"</f>
        <v>4,800</v>
      </c>
      <c r="Y72" s="7" t="str">
        <f>"4,000"</f>
        <v>4,000</v>
      </c>
      <c r="Z72" s="7" t="str">
        <f>"242"</f>
        <v>242</v>
      </c>
      <c r="AA72" s="1" t="str">
        <f t="shared" si="43"/>
        <v>Out of production.</v>
      </c>
    </row>
    <row r="73" spans="1:27" ht="19.95" customHeight="1">
      <c r="A73" s="3" t="str">
        <f t="shared" si="33"/>
        <v>BAE Systems Regional Aircraft</v>
      </c>
      <c r="B73" s="4" t="str">
        <f t="shared" si="33"/>
        <v>BAE Systems Regional Aircraft</v>
      </c>
      <c r="C73" s="3" t="str">
        <f t="shared" si="34"/>
        <v>Prestwick</v>
      </c>
      <c r="D73" s="3" t="str">
        <f t="shared" si="35"/>
        <v>Ayrshire</v>
      </c>
      <c r="E73" s="3" t="str">
        <f t="shared" si="36"/>
        <v>Scotland</v>
      </c>
      <c r="F73" s="3" t="str">
        <f>"Jetstream 32EP"</f>
        <v>Jetstream 32EP</v>
      </c>
      <c r="G73" s="3" t="str">
        <f>"Turboprops"</f>
        <v>Turboprops</v>
      </c>
      <c r="H73" s="8" t="str">
        <f t="shared" si="37"/>
        <v>2</v>
      </c>
      <c r="I73" s="8" t="str">
        <f>"19"</f>
        <v>19</v>
      </c>
      <c r="J73" s="8" t="str">
        <f>"52"</f>
        <v>52</v>
      </c>
      <c r="K73" s="8" t="str">
        <f>"271.3"</f>
        <v>271.3</v>
      </c>
      <c r="L73" s="8" t="str">
        <f>"47.1"</f>
        <v>47.1</v>
      </c>
      <c r="M73" s="8" t="str">
        <f>"17.8"</f>
        <v>17.8</v>
      </c>
      <c r="N73" s="8" t="str">
        <f>"10,400"</f>
        <v>10,400</v>
      </c>
      <c r="O73" s="8" t="str">
        <f>"16,204"</f>
        <v>16,204</v>
      </c>
      <c r="P73" s="8" t="str">
        <f>"15,609"</f>
        <v>15,609</v>
      </c>
      <c r="Q73" s="8" t="str">
        <f>"1,063"</f>
        <v>1,063</v>
      </c>
      <c r="R73" s="3" t="str">
        <f>"2 X Honeywell TPE331-12 UAR"</f>
        <v>2 X Honeywell TPE331-12 UAR</v>
      </c>
      <c r="S73" s="3"/>
      <c r="T73" s="3"/>
      <c r="U73" s="1">
        <f t="shared" ref="U73:U136" si="44">O73/K73</f>
        <v>59.727239218577218</v>
      </c>
      <c r="V73" s="8" t="str">
        <f>"307"</f>
        <v>307</v>
      </c>
      <c r="W73" s="8" t="str">
        <f>"307"</f>
        <v>307</v>
      </c>
      <c r="X73" s="8" t="str">
        <f>"4,700"</f>
        <v>4,700</v>
      </c>
      <c r="Y73" s="8" t="str">
        <f>"3,700"</f>
        <v>3,700</v>
      </c>
      <c r="Z73" s="8" t="str">
        <f>"367"</f>
        <v>367</v>
      </c>
      <c r="AA73" s="3" t="str">
        <f t="shared" si="43"/>
        <v>Out of production.</v>
      </c>
    </row>
    <row r="74" spans="1:27" ht="19.95" customHeight="1">
      <c r="A74" s="1" t="str">
        <f t="shared" si="33"/>
        <v>BAE Systems Regional Aircraft</v>
      </c>
      <c r="B74" s="2" t="str">
        <f t="shared" si="33"/>
        <v>BAE Systems Regional Aircraft</v>
      </c>
      <c r="C74" s="1" t="str">
        <f t="shared" si="34"/>
        <v>Prestwick</v>
      </c>
      <c r="D74" s="1" t="str">
        <f t="shared" si="35"/>
        <v>Ayrshire</v>
      </c>
      <c r="E74" s="1" t="str">
        <f t="shared" si="36"/>
        <v>Scotland</v>
      </c>
      <c r="F74" s="1" t="str">
        <f>"Jetstream 41"</f>
        <v>Jetstream 41</v>
      </c>
      <c r="G74" s="1" t="str">
        <f>"Turboprops"</f>
        <v>Turboprops</v>
      </c>
      <c r="H74" s="7" t="str">
        <f t="shared" si="37"/>
        <v>2</v>
      </c>
      <c r="I74" s="7" t="str">
        <f>"29"</f>
        <v>29</v>
      </c>
      <c r="J74" s="7" t="str">
        <f>"60.4"</f>
        <v>60.4</v>
      </c>
      <c r="K74" s="7" t="str">
        <f>"348.5"</f>
        <v>348.5</v>
      </c>
      <c r="L74" s="7" t="str">
        <f>"63.4"</f>
        <v>63.4</v>
      </c>
      <c r="M74" s="7" t="str">
        <f>"18.4"</f>
        <v>18.4</v>
      </c>
      <c r="N74" s="7" t="str">
        <f>"14,600"</f>
        <v>14,600</v>
      </c>
      <c r="O74" s="7" t="str">
        <f>"24,000"</f>
        <v>24,000</v>
      </c>
      <c r="P74" s="7" t="str">
        <f>"23,300"</f>
        <v>23,300</v>
      </c>
      <c r="Q74" s="7" t="str">
        <f>"1,550"</f>
        <v>1,550</v>
      </c>
      <c r="R74" s="1" t="str">
        <f>"2 X Honeywell TPE331-14GR/HR"</f>
        <v>2 X Honeywell TPE331-14GR/HR</v>
      </c>
      <c r="S74" s="1"/>
      <c r="T74" s="1"/>
      <c r="U74" s="1">
        <f t="shared" si="44"/>
        <v>68.866571018651356</v>
      </c>
      <c r="V74" s="7" t="str">
        <f>"340"</f>
        <v>340</v>
      </c>
      <c r="W74" s="7" t="str">
        <f>"340"</f>
        <v>340</v>
      </c>
      <c r="X74" s="7" t="str">
        <f>"4,400"</f>
        <v>4,400</v>
      </c>
      <c r="Y74" s="7" t="str">
        <f>"4,400"</f>
        <v>4,400</v>
      </c>
      <c r="Z74" s="7" t="str">
        <f>"611"</f>
        <v>611</v>
      </c>
      <c r="AA74" s="1" t="str">
        <f t="shared" si="43"/>
        <v>Out of production.</v>
      </c>
    </row>
    <row r="75" spans="1:27" ht="19.95" customHeight="1">
      <c r="A75" s="3" t="str">
        <f t="shared" ref="A75:B94" si="45">"Boeing Commercial Airplanes"</f>
        <v>Boeing Commercial Airplanes</v>
      </c>
      <c r="B75" s="4" t="str">
        <f t="shared" si="45"/>
        <v>Boeing Commercial Airplanes</v>
      </c>
      <c r="C75" s="3" t="str">
        <f t="shared" ref="C75:C106" si="46">"Renton"</f>
        <v>Renton</v>
      </c>
      <c r="D75" s="3" t="str">
        <f t="shared" ref="D75:D106" si="47">"Washington"</f>
        <v>Washington</v>
      </c>
      <c r="E75" s="3" t="str">
        <f t="shared" ref="E75:E106" si="48">"United States"</f>
        <v>United States</v>
      </c>
      <c r="F75" s="3" t="str">
        <f>"717-200"</f>
        <v>717-200</v>
      </c>
      <c r="G75" s="3" t="str">
        <f t="shared" ref="G75:G86" si="49">"Narrow-Body Turbofans"</f>
        <v>Narrow-Body Turbofans</v>
      </c>
      <c r="H75" s="8" t="str">
        <f t="shared" si="37"/>
        <v>2</v>
      </c>
      <c r="I75" s="8" t="str">
        <f>"106"</f>
        <v>106</v>
      </c>
      <c r="J75" s="8" t="str">
        <f>"93.3"</f>
        <v>93.3</v>
      </c>
      <c r="K75" s="8" t="str">
        <f>"1,001"</f>
        <v>1,001</v>
      </c>
      <c r="L75" s="8" t="str">
        <f>"124"</f>
        <v>124</v>
      </c>
      <c r="M75" s="8" t="str">
        <f>"29.1"</f>
        <v>29.1</v>
      </c>
      <c r="N75" s="8" t="str">
        <f>"68,670"</f>
        <v>68,670</v>
      </c>
      <c r="O75" s="8" t="str">
        <f>"121,000"</f>
        <v>121,000</v>
      </c>
      <c r="P75" s="8" t="str">
        <f>"110,000"</f>
        <v>110,000</v>
      </c>
      <c r="Q75" s="8" t="str">
        <f>"10,630"</f>
        <v>10,630</v>
      </c>
      <c r="R75" s="3" t="str">
        <f>"2 X Rolls-Royce BR700-715"</f>
        <v>2 X Rolls-Royce BR700-715</v>
      </c>
      <c r="S75" s="3"/>
      <c r="T75" s="3"/>
      <c r="U75" s="1">
        <f t="shared" si="44"/>
        <v>120.87912087912088</v>
      </c>
      <c r="V75" s="8" t="str">
        <f>"M 0.82"</f>
        <v>M 0.82</v>
      </c>
      <c r="W75" s="8" t="str">
        <f>"M 0.768"</f>
        <v>M 0.768</v>
      </c>
      <c r="X75" s="8" t="str">
        <f>"5,750"</f>
        <v>5,750</v>
      </c>
      <c r="Y75" s="8" t="str">
        <f>"5,000"</f>
        <v>5,000</v>
      </c>
      <c r="Z75" s="8" t="str">
        <f>"2,075"</f>
        <v>2,075</v>
      </c>
      <c r="AA75" s="3" t="str">
        <f>"Out of production. High-gross-weight structure."</f>
        <v>Out of production. High-gross-weight structure.</v>
      </c>
    </row>
    <row r="76" spans="1:27" ht="19.95" customHeight="1">
      <c r="A76" s="1" t="str">
        <f t="shared" si="45"/>
        <v>Boeing Commercial Airplanes</v>
      </c>
      <c r="B76" s="2" t="str">
        <f t="shared" si="45"/>
        <v>Boeing Commercial Airplanes</v>
      </c>
      <c r="C76" s="1" t="str">
        <f t="shared" si="46"/>
        <v>Renton</v>
      </c>
      <c r="D76" s="1" t="str">
        <f t="shared" si="47"/>
        <v>Washington</v>
      </c>
      <c r="E76" s="1" t="str">
        <f t="shared" si="48"/>
        <v>United States</v>
      </c>
      <c r="F76" s="1" t="str">
        <f>"727-200F"</f>
        <v>727-200F</v>
      </c>
      <c r="G76" s="1" t="str">
        <f t="shared" si="49"/>
        <v>Narrow-Body Turbofans</v>
      </c>
      <c r="H76" s="7" t="str">
        <f>"3"</f>
        <v>3</v>
      </c>
      <c r="I76" s="7" t="str">
        <f>"0"</f>
        <v>0</v>
      </c>
      <c r="J76" s="7" t="str">
        <f>"108"</f>
        <v>108</v>
      </c>
      <c r="K76" s="7" t="str">
        <f>"1,560"</f>
        <v>1,560</v>
      </c>
      <c r="L76" s="7" t="str">
        <f>"153.2"</f>
        <v>153.2</v>
      </c>
      <c r="M76" s="7" t="str">
        <f>"34"</f>
        <v>34</v>
      </c>
      <c r="N76" s="7" t="str">
        <f>"89,985"</f>
        <v>89,985</v>
      </c>
      <c r="O76" s="7" t="str">
        <f>"203,100"</f>
        <v>203,100</v>
      </c>
      <c r="P76" s="7" t="str">
        <f>"166,000"</f>
        <v>166,000</v>
      </c>
      <c r="Q76" s="7" t="str">
        <f>"58,300"</f>
        <v>58,300</v>
      </c>
      <c r="R76" s="1" t="str">
        <f>"3 X Pratt &amp; Whitney JT8D-17A"</f>
        <v>3 X Pratt &amp; Whitney JT8D-17A</v>
      </c>
      <c r="S76" s="1"/>
      <c r="T76" s="1"/>
      <c r="U76" s="1">
        <f t="shared" si="44"/>
        <v>130.19230769230768</v>
      </c>
      <c r="V76" s="7" t="str">
        <f>"600+"</f>
        <v>600+</v>
      </c>
      <c r="W76" s="7" t="str">
        <f>"M 0.78"</f>
        <v>M 0.78</v>
      </c>
      <c r="X76" s="7" t="str">
        <f>"9,300"</f>
        <v>9,300</v>
      </c>
      <c r="Y76" s="7" t="str">
        <f>"5,000"</f>
        <v>5,000</v>
      </c>
      <c r="Z76" s="7" t="str">
        <f>"1,950"</f>
        <v>1,950</v>
      </c>
      <c r="AA76" s="1" t="str">
        <f>"Out of production."</f>
        <v>Out of production.</v>
      </c>
    </row>
    <row r="77" spans="1:27" ht="19.95" customHeight="1">
      <c r="A77" s="3" t="str">
        <f t="shared" si="45"/>
        <v>Boeing Commercial Airplanes</v>
      </c>
      <c r="B77" s="4" t="str">
        <f t="shared" si="45"/>
        <v>Boeing Commercial Airplanes</v>
      </c>
      <c r="C77" s="3" t="str">
        <f t="shared" si="46"/>
        <v>Renton</v>
      </c>
      <c r="D77" s="3" t="str">
        <f t="shared" si="47"/>
        <v>Washington</v>
      </c>
      <c r="E77" s="3" t="str">
        <f t="shared" si="48"/>
        <v>United States</v>
      </c>
      <c r="F77" s="3" t="str">
        <f>"737-300"</f>
        <v>737-300</v>
      </c>
      <c r="G77" s="3" t="str">
        <f t="shared" si="49"/>
        <v>Narrow-Body Turbofans</v>
      </c>
      <c r="H77" s="8" t="str">
        <f t="shared" ref="H77:H86" si="50">"2"</f>
        <v>2</v>
      </c>
      <c r="I77" s="8" t="str">
        <f>"126"</f>
        <v>126</v>
      </c>
      <c r="J77" s="8" t="str">
        <f>"94.8"</f>
        <v>94.8</v>
      </c>
      <c r="K77" s="8" t="str">
        <f>"980"</f>
        <v>980</v>
      </c>
      <c r="L77" s="8" t="str">
        <f>"109.6"</f>
        <v>109.6</v>
      </c>
      <c r="M77" s="8" t="str">
        <f>"36.5"</f>
        <v>36.5</v>
      </c>
      <c r="N77" s="8" t="str">
        <f>"72,360"</f>
        <v>72,360</v>
      </c>
      <c r="O77" s="8" t="str">
        <f>"138,500"</f>
        <v>138,500</v>
      </c>
      <c r="P77" s="8" t="str">
        <f>"116,600"</f>
        <v>116,600</v>
      </c>
      <c r="Q77" s="8" t="str">
        <f>"12,040"</f>
        <v>12,040</v>
      </c>
      <c r="R77" s="3" t="str">
        <f>"2 X CFM International CFM56-3C-1"</f>
        <v>2 X CFM International CFM56-3C-1</v>
      </c>
      <c r="S77" s="3"/>
      <c r="T77" s="3"/>
      <c r="U77" s="1">
        <f t="shared" si="44"/>
        <v>141.32653061224491</v>
      </c>
      <c r="V77" s="8" t="str">
        <f t="shared" ref="V77:V86" si="51">"M 0.82"</f>
        <v>M 0.82</v>
      </c>
      <c r="W77" s="8" t="str">
        <f>"M 0.745"</f>
        <v>M 0.745</v>
      </c>
      <c r="X77" s="8" t="str">
        <f>"7,600"</f>
        <v>7,600</v>
      </c>
      <c r="Y77" s="8" t="str">
        <f>"4,700"</f>
        <v>4,700</v>
      </c>
      <c r="Z77" s="8" t="str">
        <f>"2,260"</f>
        <v>2,260</v>
      </c>
      <c r="AA77" s="3" t="str">
        <f>"Out of production. High-gross-weight structure."</f>
        <v>Out of production. High-gross-weight structure.</v>
      </c>
    </row>
    <row r="78" spans="1:27" ht="19.95" customHeight="1">
      <c r="A78" s="1" t="str">
        <f t="shared" si="45"/>
        <v>Boeing Commercial Airplanes</v>
      </c>
      <c r="B78" s="2" t="str">
        <f t="shared" si="45"/>
        <v>Boeing Commercial Airplanes</v>
      </c>
      <c r="C78" s="1" t="str">
        <f t="shared" si="46"/>
        <v>Renton</v>
      </c>
      <c r="D78" s="1" t="str">
        <f t="shared" si="47"/>
        <v>Washington</v>
      </c>
      <c r="E78" s="1" t="str">
        <f t="shared" si="48"/>
        <v>United States</v>
      </c>
      <c r="F78" s="1" t="str">
        <f>"737-400"</f>
        <v>737-400</v>
      </c>
      <c r="G78" s="1" t="str">
        <f t="shared" si="49"/>
        <v>Narrow-Body Turbofans</v>
      </c>
      <c r="H78" s="7" t="str">
        <f t="shared" si="50"/>
        <v>2</v>
      </c>
      <c r="I78" s="7" t="str">
        <f>"147"</f>
        <v>147</v>
      </c>
      <c r="J78" s="7" t="str">
        <f>"94.8"</f>
        <v>94.8</v>
      </c>
      <c r="K78" s="7" t="str">
        <f>"980"</f>
        <v>980</v>
      </c>
      <c r="L78" s="7" t="str">
        <f>"119.6"</f>
        <v>119.6</v>
      </c>
      <c r="M78" s="7" t="str">
        <f>"36.5"</f>
        <v>36.5</v>
      </c>
      <c r="N78" s="7" t="str">
        <f>"76,760"</f>
        <v>76,760</v>
      </c>
      <c r="O78" s="7" t="str">
        <f>"150,000"</f>
        <v>150,000</v>
      </c>
      <c r="P78" s="7" t="str">
        <f>"124,000"</f>
        <v>124,000</v>
      </c>
      <c r="Q78" s="7" t="str">
        <f>"10,840"</f>
        <v>10,840</v>
      </c>
      <c r="R78" s="1" t="str">
        <f>"2 X CFM International CFM56-3C-1"</f>
        <v>2 X CFM International CFM56-3C-1</v>
      </c>
      <c r="S78" s="1"/>
      <c r="T78" s="1"/>
      <c r="U78" s="1">
        <f t="shared" si="44"/>
        <v>153.0612244897959</v>
      </c>
      <c r="V78" s="7" t="str">
        <f t="shared" si="51"/>
        <v>M 0.82</v>
      </c>
      <c r="W78" s="7" t="str">
        <f>"M 0.745"</f>
        <v>M 0.745</v>
      </c>
      <c r="X78" s="7" t="str">
        <f>"8,880"</f>
        <v>8,880</v>
      </c>
      <c r="Y78" s="7" t="str">
        <f>"5,050"</f>
        <v>5,050</v>
      </c>
      <c r="Z78" s="7" t="str">
        <f>"2,070"</f>
        <v>2,070</v>
      </c>
      <c r="AA78" s="1" t="str">
        <f>"Out of production. High-gross-weight structure."</f>
        <v>Out of production. High-gross-weight structure.</v>
      </c>
    </row>
    <row r="79" spans="1:27" ht="19.95" customHeight="1">
      <c r="A79" s="3" t="str">
        <f t="shared" si="45"/>
        <v>Boeing Commercial Airplanes</v>
      </c>
      <c r="B79" s="4" t="str">
        <f t="shared" si="45"/>
        <v>Boeing Commercial Airplanes</v>
      </c>
      <c r="C79" s="3" t="str">
        <f t="shared" si="46"/>
        <v>Renton</v>
      </c>
      <c r="D79" s="3" t="str">
        <f t="shared" si="47"/>
        <v>Washington</v>
      </c>
      <c r="E79" s="3" t="str">
        <f t="shared" si="48"/>
        <v>United States</v>
      </c>
      <c r="F79" s="3" t="str">
        <f>"737-400 Combi"</f>
        <v>737-400 Combi</v>
      </c>
      <c r="G79" s="3" t="str">
        <f t="shared" si="49"/>
        <v>Narrow-Body Turbofans</v>
      </c>
      <c r="H79" s="8" t="str">
        <f t="shared" si="50"/>
        <v>2</v>
      </c>
      <c r="I79" s="8" t="str">
        <f>""</f>
        <v/>
      </c>
      <c r="J79" s="8" t="str">
        <f>"94.8"</f>
        <v>94.8</v>
      </c>
      <c r="K79" s="8" t="str">
        <f>"980"</f>
        <v>980</v>
      </c>
      <c r="L79" s="8" t="str">
        <f>"119.6"</f>
        <v>119.6</v>
      </c>
      <c r="M79" s="8" t="str">
        <f>"36.5"</f>
        <v>36.5</v>
      </c>
      <c r="N79" s="8" t="str">
        <f>"76,760"</f>
        <v>76,760</v>
      </c>
      <c r="O79" s="8" t="str">
        <f>"150,000"</f>
        <v>150,000</v>
      </c>
      <c r="P79" s="8" t="str">
        <f>"124,000"</f>
        <v>124,000</v>
      </c>
      <c r="Q79" s="8" t="str">
        <f>"10,840"</f>
        <v>10,840</v>
      </c>
      <c r="R79" s="3" t="str">
        <f>"2 X CFM International CFM56-3C-1"</f>
        <v>2 X CFM International CFM56-3C-1</v>
      </c>
      <c r="S79" s="3"/>
      <c r="T79" s="3"/>
      <c r="U79" s="1">
        <f t="shared" si="44"/>
        <v>153.0612244897959</v>
      </c>
      <c r="V79" s="8" t="str">
        <f t="shared" si="51"/>
        <v>M 0.82</v>
      </c>
      <c r="W79" s="8" t="str">
        <f>"M 0.745"</f>
        <v>M 0.745</v>
      </c>
      <c r="X79" s="8" t="str">
        <f>"8,880"</f>
        <v>8,880</v>
      </c>
      <c r="Y79" s="8" t="str">
        <f>"5,050"</f>
        <v>5,050</v>
      </c>
      <c r="Z79" s="8" t="str">
        <f>"2,070"</f>
        <v>2,070</v>
      </c>
      <c r="AA79" s="3" t="str">
        <f>"6 in service with Alaska Airlines."</f>
        <v>6 in service with Alaska Airlines.</v>
      </c>
    </row>
    <row r="80" spans="1:27" ht="19.95" customHeight="1">
      <c r="A80" s="1" t="str">
        <f t="shared" si="45"/>
        <v>Boeing Commercial Airplanes</v>
      </c>
      <c r="B80" s="2" t="str">
        <f t="shared" si="45"/>
        <v>Boeing Commercial Airplanes</v>
      </c>
      <c r="C80" s="1" t="str">
        <f t="shared" si="46"/>
        <v>Renton</v>
      </c>
      <c r="D80" s="1" t="str">
        <f t="shared" si="47"/>
        <v>Washington</v>
      </c>
      <c r="E80" s="1" t="str">
        <f t="shared" si="48"/>
        <v>United States</v>
      </c>
      <c r="F80" s="1" t="str">
        <f>"737-500"</f>
        <v>737-500</v>
      </c>
      <c r="G80" s="1" t="str">
        <f t="shared" si="49"/>
        <v>Narrow-Body Turbofans</v>
      </c>
      <c r="H80" s="7" t="str">
        <f t="shared" si="50"/>
        <v>2</v>
      </c>
      <c r="I80" s="7" t="str">
        <f>"110"</f>
        <v>110</v>
      </c>
      <c r="J80" s="7" t="str">
        <f>"94.8"</f>
        <v>94.8</v>
      </c>
      <c r="K80" s="7" t="str">
        <f>"980"</f>
        <v>980</v>
      </c>
      <c r="L80" s="7" t="str">
        <f>"101.8"</f>
        <v>101.8</v>
      </c>
      <c r="M80" s="7" t="str">
        <f>"36.5"</f>
        <v>36.5</v>
      </c>
      <c r="N80" s="7" t="str">
        <f>"70,440"</f>
        <v>70,440</v>
      </c>
      <c r="O80" s="7" t="str">
        <f>"115,500"</f>
        <v>115,500</v>
      </c>
      <c r="P80" s="7" t="str">
        <f>"110,000"</f>
        <v>110,000</v>
      </c>
      <c r="Q80" s="7" t="str">
        <f>"10,560"</f>
        <v>10,560</v>
      </c>
      <c r="R80" s="1" t="str">
        <f>"2 X CFM International CFM56-3C-1"</f>
        <v>2 X CFM International CFM56-3C-1</v>
      </c>
      <c r="S80" s="1"/>
      <c r="T80" s="1"/>
      <c r="U80" s="1">
        <f t="shared" si="44"/>
        <v>117.85714285714286</v>
      </c>
      <c r="V80" s="7" t="str">
        <f t="shared" si="51"/>
        <v>M 0.82</v>
      </c>
      <c r="W80" s="7" t="str">
        <f>"M 0.745"</f>
        <v>M 0.745</v>
      </c>
      <c r="X80" s="7" t="str">
        <f>"8,700"</f>
        <v>8,700</v>
      </c>
      <c r="Y80" s="7" t="str">
        <f>"4,500"</f>
        <v>4,500</v>
      </c>
      <c r="Z80" s="7" t="str">
        <f>"2,390"</f>
        <v>2,390</v>
      </c>
      <c r="AA80" s="1" t="str">
        <f>"Out of production. High-gross-weight structure."</f>
        <v>Out of production. High-gross-weight structure.</v>
      </c>
    </row>
    <row r="81" spans="1:27" ht="19.95" customHeight="1">
      <c r="A81" s="3" t="str">
        <f t="shared" si="45"/>
        <v>Boeing Commercial Airplanes</v>
      </c>
      <c r="B81" s="4" t="str">
        <f t="shared" si="45"/>
        <v>Boeing Commercial Airplanes</v>
      </c>
      <c r="C81" s="3" t="str">
        <f t="shared" si="46"/>
        <v>Renton</v>
      </c>
      <c r="D81" s="3" t="str">
        <f t="shared" si="47"/>
        <v>Washington</v>
      </c>
      <c r="E81" s="3" t="str">
        <f t="shared" si="48"/>
        <v>United States</v>
      </c>
      <c r="F81" s="3" t="str">
        <f>"737-600"</f>
        <v>737-600</v>
      </c>
      <c r="G81" s="3" t="str">
        <f t="shared" si="49"/>
        <v>Narrow-Body Turbofans</v>
      </c>
      <c r="H81" s="8" t="str">
        <f t="shared" si="50"/>
        <v>2</v>
      </c>
      <c r="I81" s="8" t="str">
        <f>"110"</f>
        <v>110</v>
      </c>
      <c r="J81" s="8" t="str">
        <f>"112.6"</f>
        <v>112.6</v>
      </c>
      <c r="K81" s="8" t="str">
        <f t="shared" ref="K81:K86" si="52">"1,341"</f>
        <v>1,341</v>
      </c>
      <c r="L81" s="8" t="str">
        <f>"102.5"</f>
        <v>102.5</v>
      </c>
      <c r="M81" s="8" t="str">
        <f>"41.3"</f>
        <v>41.3</v>
      </c>
      <c r="N81" s="8" t="str">
        <f>"82,480"</f>
        <v>82,480</v>
      </c>
      <c r="O81" s="8" t="str">
        <f>"145,500"</f>
        <v>145,500</v>
      </c>
      <c r="P81" s="8" t="str">
        <f>"120,500"</f>
        <v>120,500</v>
      </c>
      <c r="Q81" s="8" t="str">
        <f>"9,670"</f>
        <v>9,670</v>
      </c>
      <c r="R81" s="3" t="str">
        <f>"2 X CFM56-7BE"</f>
        <v>2 X CFM56-7BE</v>
      </c>
      <c r="S81" s="3"/>
      <c r="T81" s="3"/>
      <c r="U81" s="1">
        <f t="shared" si="44"/>
        <v>108.50111856823266</v>
      </c>
      <c r="V81" s="8" t="str">
        <f t="shared" si="51"/>
        <v>M 0.82</v>
      </c>
      <c r="W81" s="8" t="str">
        <f>"M 0.785"</f>
        <v>M 0.785</v>
      </c>
      <c r="X81" s="8" t="str">
        <f>"6,180"</f>
        <v>6,180</v>
      </c>
      <c r="Y81" s="8" t="str">
        <f>"4,380"</f>
        <v>4,380</v>
      </c>
      <c r="Z81" s="8" t="str">
        <f>"3,225"</f>
        <v>3,225</v>
      </c>
      <c r="AA81" s="3" t="str">
        <f>"First delivery 1998."</f>
        <v>First delivery 1998.</v>
      </c>
    </row>
    <row r="82" spans="1:27" ht="19.95" customHeight="1">
      <c r="A82" s="1" t="str">
        <f t="shared" si="45"/>
        <v>Boeing Commercial Airplanes</v>
      </c>
      <c r="B82" s="2" t="str">
        <f t="shared" si="45"/>
        <v>Boeing Commercial Airplanes</v>
      </c>
      <c r="C82" s="1" t="str">
        <f t="shared" si="46"/>
        <v>Renton</v>
      </c>
      <c r="D82" s="1" t="str">
        <f t="shared" si="47"/>
        <v>Washington</v>
      </c>
      <c r="E82" s="1" t="str">
        <f t="shared" si="48"/>
        <v>United States</v>
      </c>
      <c r="F82" s="1" t="str">
        <f>"737-700C"</f>
        <v>737-700C</v>
      </c>
      <c r="G82" s="1" t="str">
        <f t="shared" si="49"/>
        <v>Narrow-Body Turbofans</v>
      </c>
      <c r="H82" s="7" t="str">
        <f t="shared" si="50"/>
        <v>2</v>
      </c>
      <c r="I82" s="7" t="str">
        <f>"0"</f>
        <v>0</v>
      </c>
      <c r="J82" s="7" t="str">
        <f>"117.4"</f>
        <v>117.4</v>
      </c>
      <c r="K82" s="7" t="str">
        <f t="shared" si="52"/>
        <v>1,341</v>
      </c>
      <c r="L82" s="7" t="str">
        <f>"110.3"</f>
        <v>110.3</v>
      </c>
      <c r="M82" s="7" t="str">
        <f>"41.2"</f>
        <v>41.2</v>
      </c>
      <c r="N82" s="7" t="str">
        <f>"85,250"</f>
        <v>85,250</v>
      </c>
      <c r="O82" s="7" t="str">
        <f>"171,000"</f>
        <v>171,000</v>
      </c>
      <c r="P82" s="7" t="str">
        <f>"134,000"</f>
        <v>134,000</v>
      </c>
      <c r="Q82" s="7" t="str">
        <f>"40,750"</f>
        <v>40,750</v>
      </c>
      <c r="R82" s="1" t="str">
        <f>"2 X CFM56-7BE"</f>
        <v>2 X CFM56-7BE</v>
      </c>
      <c r="S82" s="1"/>
      <c r="T82" s="1"/>
      <c r="U82" s="1">
        <f t="shared" si="44"/>
        <v>127.51677852348993</v>
      </c>
      <c r="V82" s="7" t="str">
        <f t="shared" si="51"/>
        <v>M 0.82</v>
      </c>
      <c r="W82" s="7" t="str">
        <f>"M 0.78"</f>
        <v>M 0.78</v>
      </c>
      <c r="X82" s="7" t="str">
        <f>"7,240"</f>
        <v>7,240</v>
      </c>
      <c r="Y82" s="7" t="str">
        <f>"4,840"</f>
        <v>4,840</v>
      </c>
      <c r="Z82" s="7" t="str">
        <f>"3,000"</f>
        <v>3,000</v>
      </c>
      <c r="AA82" s="1" t="str">
        <f>"First delivery 2001. Optional winglets. Cargo mode."</f>
        <v>First delivery 2001. Optional winglets. Cargo mode.</v>
      </c>
    </row>
    <row r="83" spans="1:27" ht="19.95" customHeight="1">
      <c r="A83" s="3" t="str">
        <f t="shared" si="45"/>
        <v>Boeing Commercial Airplanes</v>
      </c>
      <c r="B83" s="4" t="str">
        <f t="shared" si="45"/>
        <v>Boeing Commercial Airplanes</v>
      </c>
      <c r="C83" s="3" t="str">
        <f t="shared" si="46"/>
        <v>Renton</v>
      </c>
      <c r="D83" s="3" t="str">
        <f t="shared" si="47"/>
        <v>Washington</v>
      </c>
      <c r="E83" s="3" t="str">
        <f t="shared" si="48"/>
        <v>United States</v>
      </c>
      <c r="F83" s="3" t="str">
        <f>"737-700W"</f>
        <v>737-700W</v>
      </c>
      <c r="G83" s="3" t="str">
        <f t="shared" si="49"/>
        <v>Narrow-Body Turbofans</v>
      </c>
      <c r="H83" s="8" t="str">
        <f t="shared" si="50"/>
        <v>2</v>
      </c>
      <c r="I83" s="8" t="str">
        <f>"126"</f>
        <v>126</v>
      </c>
      <c r="J83" s="8" t="str">
        <f>"117.4"</f>
        <v>117.4</v>
      </c>
      <c r="K83" s="8" t="str">
        <f t="shared" si="52"/>
        <v>1,341</v>
      </c>
      <c r="L83" s="8" t="str">
        <f>"110.3"</f>
        <v>110.3</v>
      </c>
      <c r="M83" s="8" t="str">
        <f>"41.2"</f>
        <v>41.2</v>
      </c>
      <c r="N83" s="8" t="str">
        <f>"84,990"</f>
        <v>84,990</v>
      </c>
      <c r="O83" s="8" t="str">
        <f>"154,500"</f>
        <v>154,500</v>
      </c>
      <c r="P83" s="8" t="str">
        <f>"129,200"</f>
        <v>129,200</v>
      </c>
      <c r="Q83" s="8" t="str">
        <f>"11,810"</f>
        <v>11,810</v>
      </c>
      <c r="R83" s="3" t="str">
        <f>"2 X CFM56-7BE"</f>
        <v>2 X CFM56-7BE</v>
      </c>
      <c r="S83" s="3"/>
      <c r="T83" s="3"/>
      <c r="U83" s="1">
        <f t="shared" si="44"/>
        <v>115.21252796420582</v>
      </c>
      <c r="V83" s="8" t="str">
        <f t="shared" si="51"/>
        <v>M 0.82</v>
      </c>
      <c r="W83" s="8" t="str">
        <f>"M 0.781"</f>
        <v>M 0.781</v>
      </c>
      <c r="X83" s="8" t="str">
        <f>"5,500"</f>
        <v>5,500</v>
      </c>
      <c r="Y83" s="8" t="str">
        <f>"4,690"</f>
        <v>4,690</v>
      </c>
      <c r="Z83" s="8" t="str">
        <f>"3,440"</f>
        <v>3,440</v>
      </c>
      <c r="AA83" s="3" t="str">
        <f>"First delivery 1997. Optional winglets."</f>
        <v>First delivery 1997. Optional winglets.</v>
      </c>
    </row>
    <row r="84" spans="1:27" ht="19.95" customHeight="1">
      <c r="A84" s="1" t="str">
        <f t="shared" si="45"/>
        <v>Boeing Commercial Airplanes</v>
      </c>
      <c r="B84" s="2" t="str">
        <f t="shared" si="45"/>
        <v>Boeing Commercial Airplanes</v>
      </c>
      <c r="C84" s="1" t="str">
        <f t="shared" si="46"/>
        <v>Renton</v>
      </c>
      <c r="D84" s="1" t="str">
        <f t="shared" si="47"/>
        <v>Washington</v>
      </c>
      <c r="E84" s="1" t="str">
        <f t="shared" si="48"/>
        <v>United States</v>
      </c>
      <c r="F84" s="1" t="str">
        <f>"737-800W"</f>
        <v>737-800W</v>
      </c>
      <c r="G84" s="1" t="str">
        <f t="shared" si="49"/>
        <v>Narrow-Body Turbofans</v>
      </c>
      <c r="H84" s="7" t="str">
        <f t="shared" si="50"/>
        <v>2</v>
      </c>
      <c r="I84" s="7" t="str">
        <f>"162"</f>
        <v>162</v>
      </c>
      <c r="J84" s="7" t="str">
        <f>"117.4"</f>
        <v>117.4</v>
      </c>
      <c r="K84" s="7" t="str">
        <f t="shared" si="52"/>
        <v>1,341</v>
      </c>
      <c r="L84" s="7" t="str">
        <f>"129.5"</f>
        <v>129.5</v>
      </c>
      <c r="M84" s="7" t="str">
        <f>"41.2"</f>
        <v>41.2</v>
      </c>
      <c r="N84" s="7" t="str">
        <f>"92,190"</f>
        <v>92,190</v>
      </c>
      <c r="O84" s="7" t="str">
        <f>"174,200"</f>
        <v>174,200</v>
      </c>
      <c r="P84" s="7" t="str">
        <f>"146,300"</f>
        <v>146,300</v>
      </c>
      <c r="Q84" s="7" t="str">
        <f>"13,910"</f>
        <v>13,910</v>
      </c>
      <c r="R84" s="1" t="str">
        <f>"2 X CFM56-7BE"</f>
        <v>2 X CFM56-7BE</v>
      </c>
      <c r="S84" s="1"/>
      <c r="T84" s="1"/>
      <c r="U84" s="1">
        <f t="shared" si="44"/>
        <v>129.90305741983593</v>
      </c>
      <c r="V84" s="7" t="str">
        <f t="shared" si="51"/>
        <v>M 0.82</v>
      </c>
      <c r="W84" s="7" t="str">
        <f>"M 0.789"</f>
        <v>M 0.789</v>
      </c>
      <c r="X84" s="7" t="str">
        <f>"7,320"</f>
        <v>7,320</v>
      </c>
      <c r="Y84" s="7" t="str">
        <f>"5,440"</f>
        <v>5,440</v>
      </c>
      <c r="Z84" s="7" t="str">
        <f>"3,115"</f>
        <v>3,115</v>
      </c>
      <c r="AA84" s="1" t="str">
        <f>"First delivery 1998. Optional winglets."</f>
        <v>First delivery 1998. Optional winglets.</v>
      </c>
    </row>
    <row r="85" spans="1:27" ht="19.95" customHeight="1">
      <c r="A85" s="3" t="str">
        <f t="shared" si="45"/>
        <v>Boeing Commercial Airplanes</v>
      </c>
      <c r="B85" s="4" t="str">
        <f t="shared" si="45"/>
        <v>Boeing Commercial Airplanes</v>
      </c>
      <c r="C85" s="3" t="str">
        <f t="shared" si="46"/>
        <v>Renton</v>
      </c>
      <c r="D85" s="3" t="str">
        <f t="shared" si="47"/>
        <v>Washington</v>
      </c>
      <c r="E85" s="3" t="str">
        <f t="shared" si="48"/>
        <v>United States</v>
      </c>
      <c r="F85" s="3" t="str">
        <f>"737-900ERW"</f>
        <v>737-900ERW</v>
      </c>
      <c r="G85" s="3" t="str">
        <f t="shared" si="49"/>
        <v>Narrow-Body Turbofans</v>
      </c>
      <c r="H85" s="8" t="str">
        <f t="shared" si="50"/>
        <v>2</v>
      </c>
      <c r="I85" s="8" t="str">
        <f>"180"</f>
        <v>180</v>
      </c>
      <c r="J85" s="8" t="str">
        <f>"117.4"</f>
        <v>117.4</v>
      </c>
      <c r="K85" s="8" t="str">
        <f t="shared" si="52"/>
        <v>1,341</v>
      </c>
      <c r="L85" s="8" t="str">
        <f>"138.2"</f>
        <v>138.2</v>
      </c>
      <c r="M85" s="8" t="str">
        <f>"41.2"</f>
        <v>41.2</v>
      </c>
      <c r="N85" s="8" t="str">
        <f>"98,190"</f>
        <v>98,190</v>
      </c>
      <c r="O85" s="8" t="str">
        <f>"187,700"</f>
        <v>187,700</v>
      </c>
      <c r="P85" s="8" t="str">
        <f>"157,300"</f>
        <v>157,300</v>
      </c>
      <c r="Q85" s="8" t="str">
        <f>"14,790"</f>
        <v>14,790</v>
      </c>
      <c r="R85" s="3" t="str">
        <f>"2 X CFM56-7BE"</f>
        <v>2 X CFM56-7BE</v>
      </c>
      <c r="S85" s="3"/>
      <c r="T85" s="3"/>
      <c r="U85" s="1">
        <f t="shared" si="44"/>
        <v>139.97017151379566</v>
      </c>
      <c r="V85" s="8" t="str">
        <f t="shared" si="51"/>
        <v>M 0.82</v>
      </c>
      <c r="W85" s="8" t="str">
        <f>"M 0.793"</f>
        <v>M 0.793</v>
      </c>
      <c r="X85" s="8" t="str">
        <f>"8,970"</f>
        <v>8,970</v>
      </c>
      <c r="Y85" s="8" t="str">
        <f>"5,200"</f>
        <v>5,200</v>
      </c>
      <c r="Z85" s="8" t="str">
        <f>"3,230"</f>
        <v>3,230</v>
      </c>
      <c r="AA85" s="3" t="str">
        <f>"Entry into service 2007. Optional winglets."</f>
        <v>Entry into service 2007. Optional winglets.</v>
      </c>
    </row>
    <row r="86" spans="1:27" ht="19.95" customHeight="1">
      <c r="A86" s="1" t="str">
        <f t="shared" si="45"/>
        <v>Boeing Commercial Airplanes</v>
      </c>
      <c r="B86" s="2" t="str">
        <f t="shared" si="45"/>
        <v>Boeing Commercial Airplanes</v>
      </c>
      <c r="C86" s="1" t="str">
        <f t="shared" si="46"/>
        <v>Renton</v>
      </c>
      <c r="D86" s="1" t="str">
        <f t="shared" si="47"/>
        <v>Washington</v>
      </c>
      <c r="E86" s="1" t="str">
        <f t="shared" si="48"/>
        <v>United States</v>
      </c>
      <c r="F86" s="1" t="str">
        <f>"737-900W"</f>
        <v>737-900W</v>
      </c>
      <c r="G86" s="1" t="str">
        <f t="shared" si="49"/>
        <v>Narrow-Body Turbofans</v>
      </c>
      <c r="H86" s="7" t="str">
        <f t="shared" si="50"/>
        <v>2</v>
      </c>
      <c r="I86" s="7" t="str">
        <f>"177"</f>
        <v>177</v>
      </c>
      <c r="J86" s="7" t="str">
        <f>"117.4"</f>
        <v>117.4</v>
      </c>
      <c r="K86" s="7" t="str">
        <f t="shared" si="52"/>
        <v>1,341</v>
      </c>
      <c r="L86" s="7" t="str">
        <f>"138.2"</f>
        <v>138.2</v>
      </c>
      <c r="M86" s="7" t="str">
        <f>"41.2"</f>
        <v>41.2</v>
      </c>
      <c r="N86" s="7" t="str">
        <f>"94,740"</f>
        <v>94,740</v>
      </c>
      <c r="O86" s="7" t="str">
        <f>"174,200"</f>
        <v>174,200</v>
      </c>
      <c r="P86" s="7" t="str">
        <f>"147,300"</f>
        <v>147,300</v>
      </c>
      <c r="Q86" s="7" t="str">
        <f>"10,160"</f>
        <v>10,160</v>
      </c>
      <c r="R86" s="1" t="str">
        <f>"2 X CFM International CFM56-7B"</f>
        <v>2 X CFM International CFM56-7B</v>
      </c>
      <c r="S86" s="1"/>
      <c r="T86" s="1"/>
      <c r="U86" s="1">
        <f t="shared" si="44"/>
        <v>129.90305741983593</v>
      </c>
      <c r="V86" s="7" t="str">
        <f t="shared" si="51"/>
        <v>M 0.82</v>
      </c>
      <c r="W86" s="7" t="str">
        <f>"M 0.79"</f>
        <v>M 0.79</v>
      </c>
      <c r="X86" s="7" t="str">
        <f>"7,900"</f>
        <v>7,900</v>
      </c>
      <c r="Y86" s="7" t="str">
        <f>"5,450"</f>
        <v>5,450</v>
      </c>
      <c r="Z86" s="7" t="str">
        <f>"2,745"</f>
        <v>2,745</v>
      </c>
      <c r="AA86" s="1" t="str">
        <f>"First flight August 2001. Optional winglets."</f>
        <v>First flight August 2001. Optional winglets.</v>
      </c>
    </row>
    <row r="87" spans="1:27" ht="19.95" customHeight="1">
      <c r="A87" s="3" t="str">
        <f t="shared" si="45"/>
        <v>Boeing Commercial Airplanes</v>
      </c>
      <c r="B87" s="4" t="str">
        <f t="shared" si="45"/>
        <v>Boeing Commercial Airplanes</v>
      </c>
      <c r="C87" s="3" t="str">
        <f t="shared" si="46"/>
        <v>Renton</v>
      </c>
      <c r="D87" s="3" t="str">
        <f t="shared" si="47"/>
        <v>Washington</v>
      </c>
      <c r="E87" s="3" t="str">
        <f t="shared" si="48"/>
        <v>United States</v>
      </c>
      <c r="F87" s="3" t="str">
        <f>"747-200B"</f>
        <v>747-200B</v>
      </c>
      <c r="G87" s="3" t="str">
        <f t="shared" ref="G87:G101" si="53">"Wide-Body Turbofans"</f>
        <v>Wide-Body Turbofans</v>
      </c>
      <c r="H87" s="8" t="str">
        <f t="shared" ref="H87:H92" si="54">"3"</f>
        <v>3</v>
      </c>
      <c r="I87" s="8" t="str">
        <f>"366"</f>
        <v>366</v>
      </c>
      <c r="J87" s="8" t="str">
        <f t="shared" ref="J87:J92" si="55">"195.7"</f>
        <v>195.7</v>
      </c>
      <c r="K87" s="8" t="str">
        <f t="shared" ref="K87:K92" si="56">"5,500"</f>
        <v>5,500</v>
      </c>
      <c r="L87" s="8" t="str">
        <f t="shared" ref="L87:L92" si="57">"231.9"</f>
        <v>231.9</v>
      </c>
      <c r="M87" s="8" t="str">
        <f>"64.2"</f>
        <v>64.2</v>
      </c>
      <c r="N87" s="8" t="str">
        <f>"375,100"</f>
        <v>375,100</v>
      </c>
      <c r="O87" s="8" t="str">
        <f>"833,000"</f>
        <v>833,000</v>
      </c>
      <c r="P87" s="8" t="str">
        <f>"564,000"</f>
        <v>564,000</v>
      </c>
      <c r="Q87" s="8" t="str">
        <f>"74,540"</f>
        <v>74,540</v>
      </c>
      <c r="R87" s="3" t="str">
        <f>"4 X Pratt &amp; Whitney JT9D-7R4G2"</f>
        <v>4 X Pratt &amp; Whitney JT9D-7R4G2</v>
      </c>
      <c r="S87" s="3"/>
      <c r="T87" s="3"/>
      <c r="U87" s="1">
        <f t="shared" si="44"/>
        <v>151.45454545454547</v>
      </c>
      <c r="V87" s="8" t="str">
        <f t="shared" ref="V87:V101" si="58">"M 0.92"</f>
        <v>M 0.92</v>
      </c>
      <c r="W87" s="8" t="str">
        <f t="shared" ref="W87:W92" si="59">"M 0.84"</f>
        <v>M 0.84</v>
      </c>
      <c r="X87" s="8" t="str">
        <f>"10,900"</f>
        <v>10,900</v>
      </c>
      <c r="Y87" s="8" t="str">
        <f>"6,150"</f>
        <v>6,150</v>
      </c>
      <c r="Z87" s="8" t="str">
        <f>"6,560"</f>
        <v>6,560</v>
      </c>
      <c r="AA87" s="3" t="str">
        <f>"Out of production."</f>
        <v>Out of production.</v>
      </c>
    </row>
    <row r="88" spans="1:27" ht="19.95" customHeight="1">
      <c r="A88" s="1" t="str">
        <f t="shared" si="45"/>
        <v>Boeing Commercial Airplanes</v>
      </c>
      <c r="B88" s="2" t="str">
        <f t="shared" si="45"/>
        <v>Boeing Commercial Airplanes</v>
      </c>
      <c r="C88" s="1" t="str">
        <f t="shared" si="46"/>
        <v>Renton</v>
      </c>
      <c r="D88" s="1" t="str">
        <f t="shared" si="47"/>
        <v>Washington</v>
      </c>
      <c r="E88" s="1" t="str">
        <f t="shared" si="48"/>
        <v>United States</v>
      </c>
      <c r="F88" s="1" t="str">
        <f>"747-200B Combi"</f>
        <v>747-200B Combi</v>
      </c>
      <c r="G88" s="1" t="str">
        <f t="shared" si="53"/>
        <v>Wide-Body Turbofans</v>
      </c>
      <c r="H88" s="7" t="str">
        <f t="shared" si="54"/>
        <v>3</v>
      </c>
      <c r="I88" s="7" t="str">
        <f>""</f>
        <v/>
      </c>
      <c r="J88" s="7" t="str">
        <f t="shared" si="55"/>
        <v>195.7</v>
      </c>
      <c r="K88" s="7" t="str">
        <f t="shared" si="56"/>
        <v>5,500</v>
      </c>
      <c r="L88" s="7" t="str">
        <f t="shared" si="57"/>
        <v>231.9</v>
      </c>
      <c r="M88" s="7" t="str">
        <f>"64.2"</f>
        <v>64.2</v>
      </c>
      <c r="N88" s="7" t="str">
        <f>"389,900"</f>
        <v>389,900</v>
      </c>
      <c r="O88" s="7" t="str">
        <f>"833,000"</f>
        <v>833,000</v>
      </c>
      <c r="P88" s="7" t="str">
        <f>"564,000"</f>
        <v>564,000</v>
      </c>
      <c r="Q88" s="7" t="str">
        <f>"41,680"</f>
        <v>41,680</v>
      </c>
      <c r="R88" s="1" t="str">
        <f>"4 X Pratt &amp; Whitney JT9D-7R4G2"</f>
        <v>4 X Pratt &amp; Whitney JT9D-7R4G2</v>
      </c>
      <c r="S88" s="1"/>
      <c r="T88" s="1"/>
      <c r="U88" s="1">
        <f t="shared" si="44"/>
        <v>151.45454545454547</v>
      </c>
      <c r="V88" s="7" t="str">
        <f t="shared" si="58"/>
        <v>M 0.92</v>
      </c>
      <c r="W88" s="7" t="str">
        <f t="shared" si="59"/>
        <v>M 0.84</v>
      </c>
      <c r="X88" s="7" t="str">
        <f>"10,900"</f>
        <v>10,900</v>
      </c>
      <c r="Y88" s="7" t="str">
        <f>"6,200"</f>
        <v>6,200</v>
      </c>
      <c r="Z88" s="7" t="str">
        <f>"5,975"</f>
        <v>5,975</v>
      </c>
      <c r="AA88" s="1" t="str">
        <f>"Out of production."</f>
        <v>Out of production.</v>
      </c>
    </row>
    <row r="89" spans="1:27" ht="19.95" customHeight="1">
      <c r="A89" s="3" t="str">
        <f t="shared" si="45"/>
        <v>Boeing Commercial Airplanes</v>
      </c>
      <c r="B89" s="4" t="str">
        <f t="shared" si="45"/>
        <v>Boeing Commercial Airplanes</v>
      </c>
      <c r="C89" s="3" t="str">
        <f t="shared" si="46"/>
        <v>Renton</v>
      </c>
      <c r="D89" s="3" t="str">
        <f t="shared" si="47"/>
        <v>Washington</v>
      </c>
      <c r="E89" s="3" t="str">
        <f t="shared" si="48"/>
        <v>United States</v>
      </c>
      <c r="F89" s="3" t="str">
        <f>"747-200C"</f>
        <v>747-200C</v>
      </c>
      <c r="G89" s="3" t="str">
        <f t="shared" si="53"/>
        <v>Wide-Body Turbofans</v>
      </c>
      <c r="H89" s="8" t="str">
        <f t="shared" si="54"/>
        <v>3</v>
      </c>
      <c r="I89" s="8" t="str">
        <f>"452"</f>
        <v>452</v>
      </c>
      <c r="J89" s="8" t="str">
        <f t="shared" si="55"/>
        <v>195.7</v>
      </c>
      <c r="K89" s="8" t="str">
        <f t="shared" si="56"/>
        <v>5,500</v>
      </c>
      <c r="L89" s="8" t="str">
        <f t="shared" si="57"/>
        <v>231.9</v>
      </c>
      <c r="M89" s="8" t="str">
        <f>"64.2"</f>
        <v>64.2</v>
      </c>
      <c r="N89" s="8" t="str">
        <f>"397,425"</f>
        <v>397,425</v>
      </c>
      <c r="O89" s="8" t="str">
        <f>"800,000"</f>
        <v>800,000</v>
      </c>
      <c r="P89" s="8" t="str">
        <f>"630,000"</f>
        <v>630,000</v>
      </c>
      <c r="Q89" s="8" t="str">
        <f>"97,655"</f>
        <v>97,655</v>
      </c>
      <c r="R89" s="3" t="str">
        <f>"4 X Pratt &amp; Whitney JT9D-7F"</f>
        <v>4 X Pratt &amp; Whitney JT9D-7F</v>
      </c>
      <c r="S89" s="3"/>
      <c r="T89" s="3"/>
      <c r="U89" s="1">
        <f t="shared" si="44"/>
        <v>145.45454545454547</v>
      </c>
      <c r="V89" s="8" t="str">
        <f t="shared" si="58"/>
        <v>M 0.92</v>
      </c>
      <c r="W89" s="8" t="str">
        <f t="shared" si="59"/>
        <v>M 0.84</v>
      </c>
      <c r="X89" s="8" t="str">
        <f>"14,050"</f>
        <v>14,050</v>
      </c>
      <c r="Y89" s="8" t="str">
        <f>"6,850"</f>
        <v>6,850</v>
      </c>
      <c r="Z89" s="8" t="str">
        <f>"4,875"</f>
        <v>4,875</v>
      </c>
      <c r="AA89" s="3" t="str">
        <f>"Out of production. Nose door loading."</f>
        <v>Out of production. Nose door loading.</v>
      </c>
    </row>
    <row r="90" spans="1:27" ht="19.95" customHeight="1">
      <c r="A90" s="1" t="str">
        <f t="shared" si="45"/>
        <v>Boeing Commercial Airplanes</v>
      </c>
      <c r="B90" s="2" t="str">
        <f t="shared" si="45"/>
        <v>Boeing Commercial Airplanes</v>
      </c>
      <c r="C90" s="1" t="str">
        <f t="shared" si="46"/>
        <v>Renton</v>
      </c>
      <c r="D90" s="1" t="str">
        <f t="shared" si="47"/>
        <v>Washington</v>
      </c>
      <c r="E90" s="1" t="str">
        <f t="shared" si="48"/>
        <v>United States</v>
      </c>
      <c r="F90" s="1" t="str">
        <f>"747-200F"</f>
        <v>747-200F</v>
      </c>
      <c r="G90" s="1" t="str">
        <f t="shared" si="53"/>
        <v>Wide-Body Turbofans</v>
      </c>
      <c r="H90" s="7" t="str">
        <f t="shared" si="54"/>
        <v>3</v>
      </c>
      <c r="I90" s="7" t="str">
        <f>"0"</f>
        <v>0</v>
      </c>
      <c r="J90" s="7" t="str">
        <f t="shared" si="55"/>
        <v>195.7</v>
      </c>
      <c r="K90" s="7" t="str">
        <f t="shared" si="56"/>
        <v>5,500</v>
      </c>
      <c r="L90" s="7" t="str">
        <f t="shared" si="57"/>
        <v>231.9</v>
      </c>
      <c r="M90" s="7" t="str">
        <f>"64.7"</f>
        <v>64.7</v>
      </c>
      <c r="N90" s="7" t="str">
        <f>"347,200"</f>
        <v>347,200</v>
      </c>
      <c r="O90" s="7" t="str">
        <f>"833,000"</f>
        <v>833,000</v>
      </c>
      <c r="P90" s="7" t="str">
        <f>"630,000"</f>
        <v>630,000</v>
      </c>
      <c r="Q90" s="7" t="str">
        <f>"242,800"</f>
        <v>242,800</v>
      </c>
      <c r="R90" s="1" t="str">
        <f>"4 X Pratt &amp; Whitney JT9D-7R4G2"</f>
        <v>4 X Pratt &amp; Whitney JT9D-7R4G2</v>
      </c>
      <c r="S90" s="1"/>
      <c r="T90" s="1"/>
      <c r="U90" s="1">
        <f t="shared" si="44"/>
        <v>151.45454545454547</v>
      </c>
      <c r="V90" s="7" t="str">
        <f t="shared" si="58"/>
        <v>M 0.92</v>
      </c>
      <c r="W90" s="7" t="str">
        <f t="shared" si="59"/>
        <v>M 0.84</v>
      </c>
      <c r="X90" s="7" t="str">
        <f>"10,900"</f>
        <v>10,900</v>
      </c>
      <c r="Y90" s="7" t="str">
        <f>"6,930"</f>
        <v>6,930</v>
      </c>
      <c r="Z90" s="7" t="str">
        <f>"3,615"</f>
        <v>3,615</v>
      </c>
      <c r="AA90" s="1" t="str">
        <f>"Out of production."</f>
        <v>Out of production.</v>
      </c>
    </row>
    <row r="91" spans="1:27" ht="19.95" customHeight="1">
      <c r="A91" s="3" t="str">
        <f t="shared" si="45"/>
        <v>Boeing Commercial Airplanes</v>
      </c>
      <c r="B91" s="4" t="str">
        <f t="shared" si="45"/>
        <v>Boeing Commercial Airplanes</v>
      </c>
      <c r="C91" s="3" t="str">
        <f t="shared" si="46"/>
        <v>Renton</v>
      </c>
      <c r="D91" s="3" t="str">
        <f t="shared" si="47"/>
        <v>Washington</v>
      </c>
      <c r="E91" s="3" t="str">
        <f t="shared" si="48"/>
        <v>United States</v>
      </c>
      <c r="F91" s="3" t="str">
        <f>"747-300"</f>
        <v>747-300</v>
      </c>
      <c r="G91" s="3" t="str">
        <f t="shared" si="53"/>
        <v>Wide-Body Turbofans</v>
      </c>
      <c r="H91" s="8" t="str">
        <f t="shared" si="54"/>
        <v>3</v>
      </c>
      <c r="I91" s="8" t="str">
        <f>"400"</f>
        <v>400</v>
      </c>
      <c r="J91" s="8" t="str">
        <f t="shared" si="55"/>
        <v>195.7</v>
      </c>
      <c r="K91" s="8" t="str">
        <f t="shared" si="56"/>
        <v>5,500</v>
      </c>
      <c r="L91" s="8" t="str">
        <f t="shared" si="57"/>
        <v>231.9</v>
      </c>
      <c r="M91" s="8" t="str">
        <f>"64.2"</f>
        <v>64.2</v>
      </c>
      <c r="N91" s="8" t="str">
        <f>"384,000"</f>
        <v>384,000</v>
      </c>
      <c r="O91" s="8" t="str">
        <f>"833,000"</f>
        <v>833,000</v>
      </c>
      <c r="P91" s="8" t="str">
        <f>"574,000"</f>
        <v>574,000</v>
      </c>
      <c r="Q91" s="8" t="str">
        <f>"67,000"</f>
        <v>67,000</v>
      </c>
      <c r="R91" s="3" t="str">
        <f>"4 X Pratt &amp; Whitney JT9D-7R4G2"</f>
        <v>4 X Pratt &amp; Whitney JT9D-7R4G2</v>
      </c>
      <c r="S91" s="3"/>
      <c r="T91" s="3"/>
      <c r="U91" s="1">
        <f t="shared" si="44"/>
        <v>151.45454545454547</v>
      </c>
      <c r="V91" s="8" t="str">
        <f t="shared" si="58"/>
        <v>M 0.92</v>
      </c>
      <c r="W91" s="8" t="str">
        <f t="shared" si="59"/>
        <v>M 0.84</v>
      </c>
      <c r="X91" s="8" t="str">
        <f>"10,900"</f>
        <v>10,900</v>
      </c>
      <c r="Y91" s="8" t="str">
        <f>"6,250"</f>
        <v>6,250</v>
      </c>
      <c r="Z91" s="8" t="str">
        <f>"6,330"</f>
        <v>6,330</v>
      </c>
      <c r="AA91" s="3" t="str">
        <f>"Out of production."</f>
        <v>Out of production.</v>
      </c>
    </row>
    <row r="92" spans="1:27" ht="19.95" customHeight="1">
      <c r="A92" s="1" t="str">
        <f t="shared" si="45"/>
        <v>Boeing Commercial Airplanes</v>
      </c>
      <c r="B92" s="2" t="str">
        <f t="shared" si="45"/>
        <v>Boeing Commercial Airplanes</v>
      </c>
      <c r="C92" s="1" t="str">
        <f t="shared" si="46"/>
        <v>Renton</v>
      </c>
      <c r="D92" s="1" t="str">
        <f t="shared" si="47"/>
        <v>Washington</v>
      </c>
      <c r="E92" s="1" t="str">
        <f t="shared" si="48"/>
        <v>United States</v>
      </c>
      <c r="F92" s="1" t="str">
        <f>"747-300 Combi"</f>
        <v>747-300 Combi</v>
      </c>
      <c r="G92" s="1" t="str">
        <f t="shared" si="53"/>
        <v>Wide-Body Turbofans</v>
      </c>
      <c r="H92" s="7" t="str">
        <f t="shared" si="54"/>
        <v>3</v>
      </c>
      <c r="I92" s="7" t="str">
        <f>""</f>
        <v/>
      </c>
      <c r="J92" s="7" t="str">
        <f t="shared" si="55"/>
        <v>195.7</v>
      </c>
      <c r="K92" s="7" t="str">
        <f t="shared" si="56"/>
        <v>5,500</v>
      </c>
      <c r="L92" s="7" t="str">
        <f t="shared" si="57"/>
        <v>231.9</v>
      </c>
      <c r="M92" s="7" t="str">
        <f>"64.2"</f>
        <v>64.2</v>
      </c>
      <c r="N92" s="7" t="str">
        <f>"398,200"</f>
        <v>398,200</v>
      </c>
      <c r="O92" s="7" t="str">
        <f>"833,000"</f>
        <v>833,000</v>
      </c>
      <c r="P92" s="7" t="str">
        <f>"574,000"</f>
        <v>574,000</v>
      </c>
      <c r="Q92" s="7" t="str">
        <f>"32,640"</f>
        <v>32,640</v>
      </c>
      <c r="R92" s="1" t="str">
        <f>"4 X Pratt &amp; Whitney JT9D-7R4G2"</f>
        <v>4 X Pratt &amp; Whitney JT9D-7R4G2</v>
      </c>
      <c r="S92" s="1"/>
      <c r="T92" s="1"/>
      <c r="U92" s="1">
        <f t="shared" si="44"/>
        <v>151.45454545454547</v>
      </c>
      <c r="V92" s="7" t="str">
        <f t="shared" si="58"/>
        <v>M 0.92</v>
      </c>
      <c r="W92" s="7" t="str">
        <f t="shared" si="59"/>
        <v>M 0.84</v>
      </c>
      <c r="X92" s="7" t="str">
        <f>"10,900"</f>
        <v>10,900</v>
      </c>
      <c r="Y92" s="7" t="str">
        <f>"6,300"</f>
        <v>6,300</v>
      </c>
      <c r="Z92" s="7" t="str">
        <f>"5,515"</f>
        <v>5,515</v>
      </c>
      <c r="AA92" s="1" t="str">
        <f>"Out of production."</f>
        <v>Out of production.</v>
      </c>
    </row>
    <row r="93" spans="1:27" ht="19.95" customHeight="1">
      <c r="A93" s="3" t="str">
        <f t="shared" si="45"/>
        <v>Boeing Commercial Airplanes</v>
      </c>
      <c r="B93" s="4" t="str">
        <f t="shared" si="45"/>
        <v>Boeing Commercial Airplanes</v>
      </c>
      <c r="C93" s="3" t="str">
        <f t="shared" si="46"/>
        <v>Renton</v>
      </c>
      <c r="D93" s="3" t="str">
        <f t="shared" si="47"/>
        <v>Washington</v>
      </c>
      <c r="E93" s="3" t="str">
        <f t="shared" si="48"/>
        <v>United States</v>
      </c>
      <c r="F93" s="3" t="str">
        <f>"747-400"</f>
        <v>747-400</v>
      </c>
      <c r="G93" s="3" t="str">
        <f t="shared" si="53"/>
        <v>Wide-Body Turbofans</v>
      </c>
      <c r="H93" s="8" t="str">
        <f>"2"</f>
        <v>2</v>
      </c>
      <c r="I93" s="8" t="str">
        <f>"416"</f>
        <v>416</v>
      </c>
      <c r="J93" s="8" t="str">
        <f>"211.4"</f>
        <v>211.4</v>
      </c>
      <c r="K93" s="8" t="str">
        <f>"5,825"</f>
        <v>5,825</v>
      </c>
      <c r="L93" s="8" t="str">
        <f t="shared" ref="L93:L99" si="60">"231.8"</f>
        <v>231.8</v>
      </c>
      <c r="M93" s="8" t="str">
        <f t="shared" ref="M93:M99" si="61">"63.7"</f>
        <v>63.7</v>
      </c>
      <c r="N93" s="8" t="str">
        <f>"403,100"</f>
        <v>403,100</v>
      </c>
      <c r="O93" s="8" t="str">
        <f>"875,000"</f>
        <v>875,000</v>
      </c>
      <c r="P93" s="8" t="str">
        <f>"652,000"</f>
        <v>652,000</v>
      </c>
      <c r="Q93" s="8" t="str">
        <f>"44,540"</f>
        <v>44,540</v>
      </c>
      <c r="R93" s="3" t="str">
        <f>"4 X GE CF6-80C2, PW4056 or Rolls-Royce RB.211-524"</f>
        <v>4 X GE CF6-80C2, PW4056 or Rolls-Royce RB.211-524</v>
      </c>
      <c r="S93" s="3"/>
      <c r="T93" s="3"/>
      <c r="U93" s="1">
        <f t="shared" si="44"/>
        <v>150.21459227467813</v>
      </c>
      <c r="V93" s="8" t="str">
        <f t="shared" si="58"/>
        <v>M 0.92</v>
      </c>
      <c r="W93" s="8" t="str">
        <f>"M 0.85"</f>
        <v>M 0.85</v>
      </c>
      <c r="X93" s="8" t="str">
        <f>"9,900"</f>
        <v>9,900</v>
      </c>
      <c r="Y93" s="8" t="str">
        <f>"7,150"</f>
        <v>7,150</v>
      </c>
      <c r="Z93" s="8" t="str">
        <f>"7,225"</f>
        <v>7,225</v>
      </c>
      <c r="AA93" s="3" t="str">
        <f>"In production."</f>
        <v>In production.</v>
      </c>
    </row>
    <row r="94" spans="1:27" ht="19.95" customHeight="1">
      <c r="A94" s="1" t="str">
        <f t="shared" si="45"/>
        <v>Boeing Commercial Airplanes</v>
      </c>
      <c r="B94" s="2" t="str">
        <f t="shared" si="45"/>
        <v>Boeing Commercial Airplanes</v>
      </c>
      <c r="C94" s="1" t="str">
        <f t="shared" si="46"/>
        <v>Renton</v>
      </c>
      <c r="D94" s="1" t="str">
        <f t="shared" si="47"/>
        <v>Washington</v>
      </c>
      <c r="E94" s="1" t="str">
        <f t="shared" si="48"/>
        <v>United States</v>
      </c>
      <c r="F94" s="1" t="str">
        <f>"747-400 Combi"</f>
        <v>747-400 Combi</v>
      </c>
      <c r="G94" s="1" t="str">
        <f t="shared" si="53"/>
        <v>Wide-Body Turbofans</v>
      </c>
      <c r="H94" s="7" t="str">
        <f>"2"</f>
        <v>2</v>
      </c>
      <c r="I94" s="7" t="str">
        <f>""</f>
        <v/>
      </c>
      <c r="J94" s="7" t="str">
        <f>"211.4"</f>
        <v>211.4</v>
      </c>
      <c r="K94" s="7" t="str">
        <f>"5,825"</f>
        <v>5,825</v>
      </c>
      <c r="L94" s="7" t="str">
        <f t="shared" si="60"/>
        <v>231.8</v>
      </c>
      <c r="M94" s="7" t="str">
        <f t="shared" si="61"/>
        <v>63.7</v>
      </c>
      <c r="N94" s="7" t="str">
        <f>"404,100"</f>
        <v>404,100</v>
      </c>
      <c r="O94" s="7" t="str">
        <f>"875,000"</f>
        <v>875,000</v>
      </c>
      <c r="P94" s="7" t="str">
        <f>"630,000"</f>
        <v>630,000</v>
      </c>
      <c r="Q94" s="7" t="str">
        <f>"108,360"</f>
        <v>108,360</v>
      </c>
      <c r="R94" s="1" t="str">
        <f>"4 X GE CF6-80C2, PW4056 or Rolls-Royce RB.211-524"</f>
        <v>4 X GE CF6-80C2, PW4056 or Rolls-Royce RB.211-524</v>
      </c>
      <c r="S94" s="1"/>
      <c r="T94" s="1"/>
      <c r="U94" s="1">
        <f t="shared" si="44"/>
        <v>150.21459227467813</v>
      </c>
      <c r="V94" s="7" t="str">
        <f t="shared" si="58"/>
        <v>M 0.92</v>
      </c>
      <c r="W94" s="7" t="str">
        <f>"M 0.85"</f>
        <v>M 0.85</v>
      </c>
      <c r="X94" s="7" t="str">
        <f>"9,900"</f>
        <v>9,900</v>
      </c>
      <c r="Y94" s="7" t="str">
        <f>"6,800"</f>
        <v>6,800</v>
      </c>
      <c r="Z94" s="7" t="str">
        <f>"6,695"</f>
        <v>6,695</v>
      </c>
      <c r="AA94" s="1" t="str">
        <f>"7-pallet configuration. All values for Combi."</f>
        <v>7-pallet configuration. All values for Combi.</v>
      </c>
    </row>
    <row r="95" spans="1:27" ht="19.95" customHeight="1">
      <c r="A95" s="3" t="str">
        <f t="shared" ref="A95:B114" si="62">"Boeing Commercial Airplanes"</f>
        <v>Boeing Commercial Airplanes</v>
      </c>
      <c r="B95" s="4" t="str">
        <f t="shared" si="62"/>
        <v>Boeing Commercial Airplanes</v>
      </c>
      <c r="C95" s="3" t="str">
        <f t="shared" si="46"/>
        <v>Renton</v>
      </c>
      <c r="D95" s="3" t="str">
        <f t="shared" si="47"/>
        <v>Washington</v>
      </c>
      <c r="E95" s="3" t="str">
        <f t="shared" si="48"/>
        <v>United States</v>
      </c>
      <c r="F95" s="3" t="str">
        <f>"747-400BCF"</f>
        <v>747-400BCF</v>
      </c>
      <c r="G95" s="3" t="str">
        <f t="shared" si="53"/>
        <v>Wide-Body Turbofans</v>
      </c>
      <c r="H95" s="8" t="str">
        <f>"2"</f>
        <v>2</v>
      </c>
      <c r="I95" s="8" t="str">
        <f>"8-19"</f>
        <v>8-19</v>
      </c>
      <c r="J95" s="8" t="str">
        <f>"211.4"</f>
        <v>211.4</v>
      </c>
      <c r="K95" s="8" t="str">
        <f>"5,825"</f>
        <v>5,825</v>
      </c>
      <c r="L95" s="8" t="str">
        <f t="shared" si="60"/>
        <v>231.8</v>
      </c>
      <c r="M95" s="8" t="str">
        <f t="shared" si="61"/>
        <v>63.7</v>
      </c>
      <c r="N95" s="8" t="str">
        <f>"371,010"</f>
        <v>371,010</v>
      </c>
      <c r="O95" s="8" t="str">
        <f>"870,000"</f>
        <v>870,000</v>
      </c>
      <c r="P95" s="8" t="str">
        <f>"652,000"</f>
        <v>652,000</v>
      </c>
      <c r="Q95" s="8" t="str">
        <f>"250,200"</f>
        <v>250,200</v>
      </c>
      <c r="R95" s="3" t="str">
        <f>"4 X GE CF6-80C2B1F"</f>
        <v>4 X GE CF6-80C2B1F</v>
      </c>
      <c r="S95" s="3"/>
      <c r="T95" s="3"/>
      <c r="U95" s="1">
        <f t="shared" si="44"/>
        <v>149.35622317596565</v>
      </c>
      <c r="V95" s="8" t="str">
        <f t="shared" si="58"/>
        <v>M 0.92</v>
      </c>
      <c r="W95" s="8" t="str">
        <f>"M 0.85"</f>
        <v>M 0.85</v>
      </c>
      <c r="X95" s="8" t="str">
        <f>"10,950"</f>
        <v>10,950</v>
      </c>
      <c r="Y95" s="8" t="str">
        <f>""</f>
        <v/>
      </c>
      <c r="Z95" s="8" t="str">
        <f>"4,280"</f>
        <v>4,280</v>
      </c>
      <c r="AA95" s="3" t="str">
        <f>"Converted passenger aircraft."</f>
        <v>Converted passenger aircraft.</v>
      </c>
    </row>
    <row r="96" spans="1:27" ht="19.95" customHeight="1">
      <c r="A96" s="1" t="str">
        <f t="shared" si="62"/>
        <v>Boeing Commercial Airplanes</v>
      </c>
      <c r="B96" s="2" t="str">
        <f t="shared" si="62"/>
        <v>Boeing Commercial Airplanes</v>
      </c>
      <c r="C96" s="1" t="str">
        <f t="shared" si="46"/>
        <v>Renton</v>
      </c>
      <c r="D96" s="1" t="str">
        <f t="shared" si="47"/>
        <v>Washington</v>
      </c>
      <c r="E96" s="1" t="str">
        <f t="shared" si="48"/>
        <v>United States</v>
      </c>
      <c r="F96" s="1" t="str">
        <f>"747-400D"</f>
        <v>747-400D</v>
      </c>
      <c r="G96" s="1" t="str">
        <f t="shared" si="53"/>
        <v>Wide-Body Turbofans</v>
      </c>
      <c r="H96" s="7" t="str">
        <f>"3"</f>
        <v>3</v>
      </c>
      <c r="I96" s="7" t="str">
        <f>"568"</f>
        <v>568</v>
      </c>
      <c r="J96" s="7" t="str">
        <f>"195.7"</f>
        <v>195.7</v>
      </c>
      <c r="K96" s="7" t="str">
        <f>"5,500"</f>
        <v>5,500</v>
      </c>
      <c r="L96" s="7" t="str">
        <f t="shared" si="60"/>
        <v>231.8</v>
      </c>
      <c r="M96" s="7" t="str">
        <f t="shared" si="61"/>
        <v>63.7</v>
      </c>
      <c r="N96" s="7" t="str">
        <f>"384,100"</f>
        <v>384,100</v>
      </c>
      <c r="O96" s="7" t="str">
        <f>"833,000"</f>
        <v>833,000</v>
      </c>
      <c r="P96" s="7" t="str">
        <f>"652,000"</f>
        <v>652,000</v>
      </c>
      <c r="Q96" s="7" t="str">
        <f>"39,120"</f>
        <v>39,120</v>
      </c>
      <c r="R96" s="1" t="str">
        <f>"4 X GE CF6-80C2B1F or PW4056"</f>
        <v>4 X GE CF6-80C2B1F or PW4056</v>
      </c>
      <c r="S96" s="1"/>
      <c r="T96" s="1"/>
      <c r="U96" s="1">
        <f t="shared" si="44"/>
        <v>151.45454545454547</v>
      </c>
      <c r="V96" s="7" t="str">
        <f t="shared" si="58"/>
        <v>M 0.92</v>
      </c>
      <c r="W96" s="7" t="str">
        <f>"M 0.85"</f>
        <v>M 0.85</v>
      </c>
      <c r="X96" s="7" t="str">
        <f>"9,250"</f>
        <v>9,250</v>
      </c>
      <c r="Y96" s="7" t="str">
        <f>"7,150"</f>
        <v>7,150</v>
      </c>
      <c r="Z96" s="7" t="str">
        <f>"6,195"</f>
        <v>6,195</v>
      </c>
      <c r="AA96" s="1" t="str">
        <f>"High-capacity domestic version."</f>
        <v>High-capacity domestic version.</v>
      </c>
    </row>
    <row r="97" spans="1:27" ht="19.95" customHeight="1">
      <c r="A97" s="3" t="str">
        <f t="shared" si="62"/>
        <v>Boeing Commercial Airplanes</v>
      </c>
      <c r="B97" s="4" t="str">
        <f t="shared" si="62"/>
        <v>Boeing Commercial Airplanes</v>
      </c>
      <c r="C97" s="3" t="str">
        <f t="shared" si="46"/>
        <v>Renton</v>
      </c>
      <c r="D97" s="3" t="str">
        <f t="shared" si="47"/>
        <v>Washington</v>
      </c>
      <c r="E97" s="3" t="str">
        <f t="shared" si="48"/>
        <v>United States</v>
      </c>
      <c r="F97" s="3" t="str">
        <f>"747-400ER"</f>
        <v>747-400ER</v>
      </c>
      <c r="G97" s="3" t="str">
        <f t="shared" si="53"/>
        <v>Wide-Body Turbofans</v>
      </c>
      <c r="H97" s="8" t="str">
        <f t="shared" ref="H97:H121" si="63">"2"</f>
        <v>2</v>
      </c>
      <c r="I97" s="8" t="str">
        <f>"416"</f>
        <v>416</v>
      </c>
      <c r="J97" s="8" t="str">
        <f>"211.4"</f>
        <v>211.4</v>
      </c>
      <c r="K97" s="8" t="str">
        <f>"5,825"</f>
        <v>5,825</v>
      </c>
      <c r="L97" s="8" t="str">
        <f t="shared" si="60"/>
        <v>231.8</v>
      </c>
      <c r="M97" s="8" t="str">
        <f t="shared" si="61"/>
        <v>63.7</v>
      </c>
      <c r="N97" s="8" t="str">
        <f>"410,800"</f>
        <v>410,800</v>
      </c>
      <c r="O97" s="8" t="str">
        <f>"910,000"</f>
        <v>910,000</v>
      </c>
      <c r="P97" s="8" t="str">
        <f>"652,000"</f>
        <v>652,000</v>
      </c>
      <c r="Q97" s="8" t="str">
        <f>"58,840"</f>
        <v>58,840</v>
      </c>
      <c r="R97" s="3" t="str">
        <f>"4 X GE CF6-80C2, PW4062 or Rolls-Royce RB.211-524"</f>
        <v>4 X GE CF6-80C2, PW4062 or Rolls-Royce RB.211-524</v>
      </c>
      <c r="S97" s="3"/>
      <c r="T97" s="3"/>
      <c r="U97" s="1">
        <f t="shared" si="44"/>
        <v>156.22317596566523</v>
      </c>
      <c r="V97" s="8" t="str">
        <f t="shared" si="58"/>
        <v>M 0.92</v>
      </c>
      <c r="W97" s="8" t="str">
        <f>"M 0.85"</f>
        <v>M 0.85</v>
      </c>
      <c r="X97" s="8" t="str">
        <f>"10,900"</f>
        <v>10,900</v>
      </c>
      <c r="Y97" s="8" t="str">
        <f>"7,150"</f>
        <v>7,150</v>
      </c>
      <c r="Z97" s="8" t="str">
        <f>"7,670"</f>
        <v>7,670</v>
      </c>
      <c r="AA97" s="3" t="str">
        <f>""</f>
        <v/>
      </c>
    </row>
    <row r="98" spans="1:27" ht="19.95" customHeight="1">
      <c r="A98" s="1" t="str">
        <f t="shared" si="62"/>
        <v>Boeing Commercial Airplanes</v>
      </c>
      <c r="B98" s="2" t="str">
        <f t="shared" si="62"/>
        <v>Boeing Commercial Airplanes</v>
      </c>
      <c r="C98" s="1" t="str">
        <f t="shared" si="46"/>
        <v>Renton</v>
      </c>
      <c r="D98" s="1" t="str">
        <f t="shared" si="47"/>
        <v>Washington</v>
      </c>
      <c r="E98" s="1" t="str">
        <f t="shared" si="48"/>
        <v>United States</v>
      </c>
      <c r="F98" s="1" t="str">
        <f>"747-400ERF"</f>
        <v>747-400ERF</v>
      </c>
      <c r="G98" s="1" t="str">
        <f t="shared" si="53"/>
        <v>Wide-Body Turbofans</v>
      </c>
      <c r="H98" s="7" t="str">
        <f t="shared" si="63"/>
        <v>2</v>
      </c>
      <c r="I98" s="7" t="str">
        <f>"0"</f>
        <v>0</v>
      </c>
      <c r="J98" s="7" t="str">
        <f>"211.4"</f>
        <v>211.4</v>
      </c>
      <c r="K98" s="7" t="str">
        <f>"5,825"</f>
        <v>5,825</v>
      </c>
      <c r="L98" s="7" t="str">
        <f t="shared" si="60"/>
        <v>231.8</v>
      </c>
      <c r="M98" s="7" t="str">
        <f t="shared" si="61"/>
        <v>63.7</v>
      </c>
      <c r="N98" s="7" t="str">
        <f>"361,600"</f>
        <v>361,600</v>
      </c>
      <c r="O98" s="7" t="str">
        <f>"910,000"</f>
        <v>910,000</v>
      </c>
      <c r="P98" s="7" t="str">
        <f>"653,000"</f>
        <v>653,000</v>
      </c>
      <c r="Q98" s="7" t="str">
        <f>"249,100"</f>
        <v>249,100</v>
      </c>
      <c r="R98" s="1" t="str">
        <f>"4 X GE CF6-80C2, PW4056 or Rolls-Royce RB.211-524"</f>
        <v>4 X GE CF6-80C2, PW4056 or Rolls-Royce RB.211-524</v>
      </c>
      <c r="S98" s="1"/>
      <c r="T98" s="1"/>
      <c r="U98" s="1">
        <f t="shared" si="44"/>
        <v>156.22317596566523</v>
      </c>
      <c r="V98" s="7" t="str">
        <f t="shared" si="58"/>
        <v>M 0.92</v>
      </c>
      <c r="W98" s="7" t="str">
        <f>"M 0.84"</f>
        <v>M 0.84</v>
      </c>
      <c r="X98" s="7" t="str">
        <f>"10,950"</f>
        <v>10,950</v>
      </c>
      <c r="Y98" s="7" t="str">
        <f>"7,150"</f>
        <v>7,150</v>
      </c>
      <c r="Z98" s="7" t="str">
        <f>"4,980"</f>
        <v>4,980</v>
      </c>
      <c r="AA98" s="1" t="str">
        <f>"First flight September 2002."</f>
        <v>First flight September 2002.</v>
      </c>
    </row>
    <row r="99" spans="1:27" ht="19.95" customHeight="1">
      <c r="A99" s="3" t="str">
        <f t="shared" si="62"/>
        <v>Boeing Commercial Airplanes</v>
      </c>
      <c r="B99" s="4" t="str">
        <f t="shared" si="62"/>
        <v>Boeing Commercial Airplanes</v>
      </c>
      <c r="C99" s="3" t="str">
        <f t="shared" si="46"/>
        <v>Renton</v>
      </c>
      <c r="D99" s="3" t="str">
        <f t="shared" si="47"/>
        <v>Washington</v>
      </c>
      <c r="E99" s="3" t="str">
        <f t="shared" si="48"/>
        <v>United States</v>
      </c>
      <c r="F99" s="3" t="str">
        <f>"747-400F"</f>
        <v>747-400F</v>
      </c>
      <c r="G99" s="3" t="str">
        <f t="shared" si="53"/>
        <v>Wide-Body Turbofans</v>
      </c>
      <c r="H99" s="8" t="str">
        <f t="shared" si="63"/>
        <v>2</v>
      </c>
      <c r="I99" s="8" t="str">
        <f>"0"</f>
        <v>0</v>
      </c>
      <c r="J99" s="8" t="str">
        <f>"211.4"</f>
        <v>211.4</v>
      </c>
      <c r="K99" s="8" t="str">
        <f>"5,825"</f>
        <v>5,825</v>
      </c>
      <c r="L99" s="8" t="str">
        <f t="shared" si="60"/>
        <v>231.8</v>
      </c>
      <c r="M99" s="8" t="str">
        <f t="shared" si="61"/>
        <v>63.7</v>
      </c>
      <c r="N99" s="8" t="str">
        <f>"360,900"</f>
        <v>360,900</v>
      </c>
      <c r="O99" s="8" t="str">
        <f>"875,000"</f>
        <v>875,000</v>
      </c>
      <c r="P99" s="8" t="str">
        <f>"652,000"</f>
        <v>652,000</v>
      </c>
      <c r="Q99" s="8" t="str">
        <f>"249,100"</f>
        <v>249,100</v>
      </c>
      <c r="R99" s="3" t="str">
        <f>"4 X GE CF6-80C2, PW4056 or Rolls-Royce RB.211-524"</f>
        <v>4 X GE CF6-80C2, PW4056 or Rolls-Royce RB.211-524</v>
      </c>
      <c r="S99" s="3"/>
      <c r="T99" s="3"/>
      <c r="U99" s="1">
        <f t="shared" si="44"/>
        <v>150.21459227467813</v>
      </c>
      <c r="V99" s="8" t="str">
        <f t="shared" si="58"/>
        <v>M 0.92</v>
      </c>
      <c r="W99" s="8" t="str">
        <f>"M 0.84"</f>
        <v>M 0.84</v>
      </c>
      <c r="X99" s="8" t="str">
        <f>"10,200"</f>
        <v>10,200</v>
      </c>
      <c r="Y99" s="8" t="str">
        <f>"7,200"</f>
        <v>7,200</v>
      </c>
      <c r="Z99" s="8" t="str">
        <f>"4,455"</f>
        <v>4,455</v>
      </c>
      <c r="AA99" s="3" t="str">
        <f>"Nose door for oversized cargo."</f>
        <v>Nose door for oversized cargo.</v>
      </c>
    </row>
    <row r="100" spans="1:27" ht="19.95" customHeight="1">
      <c r="A100" s="1" t="str">
        <f t="shared" si="62"/>
        <v>Boeing Commercial Airplanes</v>
      </c>
      <c r="B100" s="2" t="str">
        <f t="shared" si="62"/>
        <v>Boeing Commercial Airplanes</v>
      </c>
      <c r="C100" s="1" t="str">
        <f t="shared" si="46"/>
        <v>Renton</v>
      </c>
      <c r="D100" s="1" t="str">
        <f t="shared" si="47"/>
        <v>Washington</v>
      </c>
      <c r="E100" s="1" t="str">
        <f t="shared" si="48"/>
        <v>United States</v>
      </c>
      <c r="F100" s="1" t="str">
        <f>"747-8F"</f>
        <v>747-8F</v>
      </c>
      <c r="G100" s="1" t="str">
        <f t="shared" si="53"/>
        <v>Wide-Body Turbofans</v>
      </c>
      <c r="H100" s="7" t="str">
        <f t="shared" si="63"/>
        <v>2</v>
      </c>
      <c r="I100" s="7" t="str">
        <f>"0"</f>
        <v>0</v>
      </c>
      <c r="J100" s="7" t="str">
        <f>"224.6"</f>
        <v>224.6</v>
      </c>
      <c r="K100" s="7" t="str">
        <f>"5,958"</f>
        <v>5,958</v>
      </c>
      <c r="L100" s="7" t="str">
        <f>"250.1"</f>
        <v>250.1</v>
      </c>
      <c r="M100" s="7" t="str">
        <f>"63.5"</f>
        <v>63.5</v>
      </c>
      <c r="N100" s="7" t="str">
        <f>"413,600"</f>
        <v>413,600</v>
      </c>
      <c r="O100" s="7" t="str">
        <f>"975,000"</f>
        <v>975,000</v>
      </c>
      <c r="P100" s="7" t="str">
        <f>"759,000"</f>
        <v>759,000</v>
      </c>
      <c r="Q100" s="7" t="str">
        <f>"295,200"</f>
        <v>295,200</v>
      </c>
      <c r="R100" s="1" t="str">
        <f>"4 X GE GEnx-2B67"</f>
        <v>4 X GE GEnx-2B67</v>
      </c>
      <c r="S100" s="1"/>
      <c r="T100" s="1"/>
      <c r="U100" s="1">
        <f t="shared" si="44"/>
        <v>163.64551863041288</v>
      </c>
      <c r="V100" s="7" t="str">
        <f t="shared" si="58"/>
        <v>M 0.92</v>
      </c>
      <c r="W100" s="7" t="str">
        <f>"M 0.85"</f>
        <v>M 0.85</v>
      </c>
      <c r="X100" s="7" t="str">
        <f>"10,550"</f>
        <v>10,550</v>
      </c>
      <c r="Y100" s="7" t="str">
        <f>"7,950"</f>
        <v>7,950</v>
      </c>
      <c r="Z100" s="7" t="str">
        <f>"4,390"</f>
        <v>4,390</v>
      </c>
      <c r="AA100" s="1" t="str">
        <f>"Entry into service 2010."</f>
        <v>Entry into service 2010.</v>
      </c>
    </row>
    <row r="101" spans="1:27" ht="19.95" customHeight="1">
      <c r="A101" s="3" t="str">
        <f t="shared" si="62"/>
        <v>Boeing Commercial Airplanes</v>
      </c>
      <c r="B101" s="4" t="str">
        <f t="shared" si="62"/>
        <v>Boeing Commercial Airplanes</v>
      </c>
      <c r="C101" s="3" t="str">
        <f t="shared" si="46"/>
        <v>Renton</v>
      </c>
      <c r="D101" s="3" t="str">
        <f t="shared" si="47"/>
        <v>Washington</v>
      </c>
      <c r="E101" s="3" t="str">
        <f t="shared" si="48"/>
        <v>United States</v>
      </c>
      <c r="F101" s="3" t="str">
        <f>"747-I"</f>
        <v>747-I</v>
      </c>
      <c r="G101" s="3" t="str">
        <f t="shared" si="53"/>
        <v>Wide-Body Turbofans</v>
      </c>
      <c r="H101" s="8" t="str">
        <f t="shared" si="63"/>
        <v>2</v>
      </c>
      <c r="I101" s="8" t="str">
        <f>"467"</f>
        <v>467</v>
      </c>
      <c r="J101" s="8" t="str">
        <f>"224.6"</f>
        <v>224.6</v>
      </c>
      <c r="K101" s="8" t="str">
        <f>"5,958"</f>
        <v>5,958</v>
      </c>
      <c r="L101" s="8" t="str">
        <f>"250.1"</f>
        <v>250.1</v>
      </c>
      <c r="M101" s="8" t="str">
        <f>"63.5"</f>
        <v>63.5</v>
      </c>
      <c r="N101" s="8" t="str">
        <f>"466,700"</f>
        <v>466,700</v>
      </c>
      <c r="O101" s="8" t="str">
        <f>"975,000"</f>
        <v>975,000</v>
      </c>
      <c r="P101" s="8" t="str">
        <f>"682,000"</f>
        <v>682,000</v>
      </c>
      <c r="Q101" s="8" t="str">
        <f>"69,730"</f>
        <v>69,730</v>
      </c>
      <c r="R101" s="3" t="str">
        <f>"4 X GE GEnx-2B67"</f>
        <v>4 X GE GEnx-2B67</v>
      </c>
      <c r="S101" s="3"/>
      <c r="T101" s="3"/>
      <c r="U101" s="1">
        <f t="shared" si="44"/>
        <v>163.64551863041288</v>
      </c>
      <c r="V101" s="8" t="str">
        <f t="shared" si="58"/>
        <v>M 0.92</v>
      </c>
      <c r="W101" s="8" t="str">
        <f>"M 0.85"</f>
        <v>M 0.85</v>
      </c>
      <c r="X101" s="8" t="str">
        <f>"10,550"</f>
        <v>10,550</v>
      </c>
      <c r="Y101" s="8" t="str">
        <f>"7,150"</f>
        <v>7,150</v>
      </c>
      <c r="Z101" s="8" t="str">
        <f>"8,000"</f>
        <v>8,000</v>
      </c>
      <c r="AA101" s="3" t="str">
        <f>"Formerly 747-400 Advanced. Entry into service 2011."</f>
        <v>Formerly 747-400 Advanced. Entry into service 2011.</v>
      </c>
    </row>
    <row r="102" spans="1:27" ht="19.95" customHeight="1">
      <c r="A102" s="1" t="str">
        <f t="shared" si="62"/>
        <v>Boeing Commercial Airplanes</v>
      </c>
      <c r="B102" s="2" t="str">
        <f t="shared" si="62"/>
        <v>Boeing Commercial Airplanes</v>
      </c>
      <c r="C102" s="1" t="str">
        <f t="shared" si="46"/>
        <v>Renton</v>
      </c>
      <c r="D102" s="1" t="str">
        <f t="shared" si="47"/>
        <v>Washington</v>
      </c>
      <c r="E102" s="1" t="str">
        <f t="shared" si="48"/>
        <v>United States</v>
      </c>
      <c r="F102" s="1" t="str">
        <f>"757-200"</f>
        <v>757-200</v>
      </c>
      <c r="G102" s="1" t="str">
        <f>"Narrow-Body Turbofans"</f>
        <v>Narrow-Body Turbofans</v>
      </c>
      <c r="H102" s="7" t="str">
        <f t="shared" si="63"/>
        <v>2</v>
      </c>
      <c r="I102" s="7" t="str">
        <f>"200"</f>
        <v>200</v>
      </c>
      <c r="J102" s="7" t="str">
        <f>"124.8"</f>
        <v>124.8</v>
      </c>
      <c r="K102" s="7" t="str">
        <f>"1,951"</f>
        <v>1,951</v>
      </c>
      <c r="L102" s="7" t="str">
        <f>"155.3"</f>
        <v>155.3</v>
      </c>
      <c r="M102" s="7" t="str">
        <f>"44.5"</f>
        <v>44.5</v>
      </c>
      <c r="N102" s="7" t="str">
        <f>"130,440"</f>
        <v>130,440</v>
      </c>
      <c r="O102" s="7" t="str">
        <f>"255,000"</f>
        <v>255,000</v>
      </c>
      <c r="P102" s="7" t="str">
        <f>"210,000"</f>
        <v>210,000</v>
      </c>
      <c r="Q102" s="7" t="str">
        <f>"15,560"</f>
        <v>15,560</v>
      </c>
      <c r="R102" s="1" t="str">
        <f>"2 X Rolls-Royce RB.211-535E4 or E4B or PW2037/PW2040"</f>
        <v>2 X Rolls-Royce RB.211-535E4 or E4B or PW2037/PW2040</v>
      </c>
      <c r="S102" s="1"/>
      <c r="T102" s="1"/>
      <c r="U102" s="1">
        <f t="shared" si="44"/>
        <v>130.70220399794977</v>
      </c>
      <c r="V102" s="7" t="str">
        <f t="shared" ref="V102:V112" si="64">"M 0.86"</f>
        <v>M 0.86</v>
      </c>
      <c r="W102" s="7" t="str">
        <f t="shared" ref="W102:W112" si="65">"M 0.80"</f>
        <v>M 0.80</v>
      </c>
      <c r="X102" s="7" t="str">
        <f>"7,750"</f>
        <v>7,750</v>
      </c>
      <c r="Y102" s="7" t="str">
        <f>"5,100"</f>
        <v>5,100</v>
      </c>
      <c r="Z102" s="7" t="str">
        <f>"3,915"</f>
        <v>3,915</v>
      </c>
      <c r="AA102" s="1" t="str">
        <f>"Out of production."</f>
        <v>Out of production.</v>
      </c>
    </row>
    <row r="103" spans="1:27" ht="19.95" customHeight="1">
      <c r="A103" s="3" t="str">
        <f t="shared" si="62"/>
        <v>Boeing Commercial Airplanes</v>
      </c>
      <c r="B103" s="4" t="str">
        <f t="shared" si="62"/>
        <v>Boeing Commercial Airplanes</v>
      </c>
      <c r="C103" s="3" t="str">
        <f t="shared" si="46"/>
        <v>Renton</v>
      </c>
      <c r="D103" s="3" t="str">
        <f t="shared" si="47"/>
        <v>Washington</v>
      </c>
      <c r="E103" s="3" t="str">
        <f t="shared" si="48"/>
        <v>United States</v>
      </c>
      <c r="F103" s="3" t="str">
        <f>"757-200F"</f>
        <v>757-200F</v>
      </c>
      <c r="G103" s="3" t="str">
        <f>"Narrow-Body Turbofans"</f>
        <v>Narrow-Body Turbofans</v>
      </c>
      <c r="H103" s="8" t="str">
        <f t="shared" si="63"/>
        <v>2</v>
      </c>
      <c r="I103" s="8" t="str">
        <f>"0"</f>
        <v>0</v>
      </c>
      <c r="J103" s="8" t="str">
        <f>"124.8"</f>
        <v>124.8</v>
      </c>
      <c r="K103" s="8" t="str">
        <f>"1,951"</f>
        <v>1,951</v>
      </c>
      <c r="L103" s="8" t="str">
        <f>"155.3"</f>
        <v>155.3</v>
      </c>
      <c r="M103" s="8" t="str">
        <f>"44.5"</f>
        <v>44.5</v>
      </c>
      <c r="N103" s="8" t="str">
        <f>"115,580"</f>
        <v>115,580</v>
      </c>
      <c r="O103" s="8" t="str">
        <f>"255,000"</f>
        <v>255,000</v>
      </c>
      <c r="P103" s="8" t="str">
        <f>"210,000"</f>
        <v>210,000</v>
      </c>
      <c r="Q103" s="8" t="str">
        <f>"72,210"</f>
        <v>72,210</v>
      </c>
      <c r="R103" s="3" t="str">
        <f>"2 X Rolls-Royce RB.211-535E4 or E4B or PW2037/PW2040"</f>
        <v>2 X Rolls-Royce RB.211-535E4 or E4B or PW2037/PW2040</v>
      </c>
      <c r="S103" s="3"/>
      <c r="T103" s="3"/>
      <c r="U103" s="1">
        <f t="shared" si="44"/>
        <v>130.70220399794977</v>
      </c>
      <c r="V103" s="8" t="str">
        <f t="shared" si="64"/>
        <v>M 0.86</v>
      </c>
      <c r="W103" s="8" t="str">
        <f t="shared" si="65"/>
        <v>M 0.80</v>
      </c>
      <c r="X103" s="8" t="str">
        <f>"7,750"</f>
        <v>7,750</v>
      </c>
      <c r="Y103" s="8" t="str">
        <f>"4,950"</f>
        <v>4,950</v>
      </c>
      <c r="Z103" s="8" t="str">
        <f>"3,140"</f>
        <v>3,140</v>
      </c>
      <c r="AA103" s="3" t="str">
        <f>"Out of production."</f>
        <v>Out of production.</v>
      </c>
    </row>
    <row r="104" spans="1:27" ht="19.95" customHeight="1">
      <c r="A104" s="1" t="str">
        <f t="shared" si="62"/>
        <v>Boeing Commercial Airplanes</v>
      </c>
      <c r="B104" s="2" t="str">
        <f t="shared" si="62"/>
        <v>Boeing Commercial Airplanes</v>
      </c>
      <c r="C104" s="1" t="str">
        <f t="shared" si="46"/>
        <v>Renton</v>
      </c>
      <c r="D104" s="1" t="str">
        <f t="shared" si="47"/>
        <v>Washington</v>
      </c>
      <c r="E104" s="1" t="str">
        <f t="shared" si="48"/>
        <v>United States</v>
      </c>
      <c r="F104" s="1" t="str">
        <f>"757-300"</f>
        <v>757-300</v>
      </c>
      <c r="G104" s="1" t="str">
        <f>"Narrow-Body Turbofans"</f>
        <v>Narrow-Body Turbofans</v>
      </c>
      <c r="H104" s="7" t="str">
        <f t="shared" si="63"/>
        <v>2</v>
      </c>
      <c r="I104" s="7" t="str">
        <f>"243"</f>
        <v>243</v>
      </c>
      <c r="J104" s="7" t="str">
        <f>"124.8"</f>
        <v>124.8</v>
      </c>
      <c r="K104" s="7" t="str">
        <f>"1,951"</f>
        <v>1,951</v>
      </c>
      <c r="L104" s="7" t="str">
        <f>"178.6"</f>
        <v>178.6</v>
      </c>
      <c r="M104" s="7" t="str">
        <f>"44.5"</f>
        <v>44.5</v>
      </c>
      <c r="N104" s="7" t="str">
        <f>"141,690"</f>
        <v>141,690</v>
      </c>
      <c r="O104" s="7" t="str">
        <f>"273,000"</f>
        <v>273,000</v>
      </c>
      <c r="P104" s="7" t="str">
        <f>"224,000"</f>
        <v>224,000</v>
      </c>
      <c r="Q104" s="7" t="str">
        <f>"19,710"</f>
        <v>19,710</v>
      </c>
      <c r="R104" s="1" t="str">
        <f>"2 X Rolls-Royce RB.211-535E4 or E4B or PW2037/PW2040"</f>
        <v>2 X Rolls-Royce RB.211-535E4 or E4B or PW2037/PW2040</v>
      </c>
      <c r="S104" s="1"/>
      <c r="T104" s="1"/>
      <c r="U104" s="1">
        <f t="shared" si="44"/>
        <v>139.92824192721682</v>
      </c>
      <c r="V104" s="7" t="str">
        <f t="shared" si="64"/>
        <v>M 0.86</v>
      </c>
      <c r="W104" s="7" t="str">
        <f t="shared" si="65"/>
        <v>M 0.80</v>
      </c>
      <c r="X104" s="7" t="str">
        <f>"8,650"</f>
        <v>8,650</v>
      </c>
      <c r="Y104" s="7" t="str">
        <f>"5,700"</f>
        <v>5,700</v>
      </c>
      <c r="Z104" s="7" t="str">
        <f>"3,400"</f>
        <v>3,400</v>
      </c>
      <c r="AA104" s="1" t="str">
        <f>"Out of production."</f>
        <v>Out of production.</v>
      </c>
    </row>
    <row r="105" spans="1:27" ht="19.95" customHeight="1">
      <c r="A105" s="3" t="str">
        <f t="shared" si="62"/>
        <v>Boeing Commercial Airplanes</v>
      </c>
      <c r="B105" s="4" t="str">
        <f t="shared" si="62"/>
        <v>Boeing Commercial Airplanes</v>
      </c>
      <c r="C105" s="3" t="str">
        <f t="shared" si="46"/>
        <v>Renton</v>
      </c>
      <c r="D105" s="3" t="str">
        <f t="shared" si="47"/>
        <v>Washington</v>
      </c>
      <c r="E105" s="3" t="str">
        <f t="shared" si="48"/>
        <v>United States</v>
      </c>
      <c r="F105" s="3" t="str">
        <f>"767-200"</f>
        <v>767-200</v>
      </c>
      <c r="G105" s="3" t="str">
        <f t="shared" ref="G105:G123" si="66">"Wide-Body Turbofans"</f>
        <v>Wide-Body Turbofans</v>
      </c>
      <c r="H105" s="8" t="str">
        <f t="shared" si="63"/>
        <v>2</v>
      </c>
      <c r="I105" s="8" t="str">
        <f>"181"</f>
        <v>181</v>
      </c>
      <c r="J105" s="8" t="str">
        <f t="shared" ref="J105:J111" si="67">"156.1"</f>
        <v>156.1</v>
      </c>
      <c r="K105" s="8" t="str">
        <f t="shared" ref="K105:K111" si="68">"3,050"</f>
        <v>3,050</v>
      </c>
      <c r="L105" s="8" t="str">
        <f>"159.2"</f>
        <v>159.2</v>
      </c>
      <c r="M105" s="8" t="str">
        <f t="shared" ref="M105:M111" si="69">"52"</f>
        <v>52</v>
      </c>
      <c r="N105" s="8" t="str">
        <f>"182,400"</f>
        <v>182,400</v>
      </c>
      <c r="O105" s="8" t="str">
        <f>"335,000"</f>
        <v>335,000</v>
      </c>
      <c r="P105" s="8" t="str">
        <f>"270,000"</f>
        <v>270,000</v>
      </c>
      <c r="Q105" s="8" t="str">
        <f>"27,590"</f>
        <v>27,590</v>
      </c>
      <c r="R105" s="3" t="str">
        <f>"2 X GE CF6-80C2 or PW4000 or RB211"</f>
        <v>2 X GE CF6-80C2 or PW4000 or RB211</v>
      </c>
      <c r="S105" s="3">
        <f>2*50000</f>
        <v>100000</v>
      </c>
      <c r="T105" s="3">
        <f>S105/O105</f>
        <v>0.29850746268656714</v>
      </c>
      <c r="U105" s="1">
        <f t="shared" si="44"/>
        <v>109.8360655737705</v>
      </c>
      <c r="V105" s="8" t="str">
        <f t="shared" si="64"/>
        <v>M 0.86</v>
      </c>
      <c r="W105" s="8" t="str">
        <f t="shared" si="65"/>
        <v>M 0.80</v>
      </c>
      <c r="X105" s="8" t="str">
        <f>"6,950"</f>
        <v>6,950</v>
      </c>
      <c r="Y105" s="8" t="str">
        <f>"4,850"</f>
        <v>4,850</v>
      </c>
      <c r="Z105" s="8" t="str">
        <f>"4,845"</f>
        <v>4,845</v>
      </c>
      <c r="AA105" s="3" t="str">
        <f>"Out of production."</f>
        <v>Out of production.</v>
      </c>
    </row>
    <row r="106" spans="1:27" ht="19.95" customHeight="1">
      <c r="A106" s="1" t="str">
        <f t="shared" si="62"/>
        <v>Boeing Commercial Airplanes</v>
      </c>
      <c r="B106" s="2" t="str">
        <f t="shared" si="62"/>
        <v>Boeing Commercial Airplanes</v>
      </c>
      <c r="C106" s="1" t="str">
        <f t="shared" si="46"/>
        <v>Renton</v>
      </c>
      <c r="D106" s="1" t="str">
        <f t="shared" si="47"/>
        <v>Washington</v>
      </c>
      <c r="E106" s="1" t="str">
        <f t="shared" si="48"/>
        <v>United States</v>
      </c>
      <c r="F106" s="1" t="str">
        <f>"767-200ER"</f>
        <v>767-200ER</v>
      </c>
      <c r="G106" s="1" t="str">
        <f t="shared" si="66"/>
        <v>Wide-Body Turbofans</v>
      </c>
      <c r="H106" s="7" t="str">
        <f t="shared" si="63"/>
        <v>2</v>
      </c>
      <c r="I106" s="7" t="str">
        <f>"181"</f>
        <v>181</v>
      </c>
      <c r="J106" s="7" t="str">
        <f t="shared" si="67"/>
        <v>156.1</v>
      </c>
      <c r="K106" s="7" t="str">
        <f t="shared" si="68"/>
        <v>3,050</v>
      </c>
      <c r="L106" s="7" t="str">
        <f>"159.2"</f>
        <v>159.2</v>
      </c>
      <c r="M106" s="7" t="str">
        <f t="shared" si="69"/>
        <v>52</v>
      </c>
      <c r="N106" s="7" t="str">
        <f>"189,900"</f>
        <v>189,900</v>
      </c>
      <c r="O106" s="7" t="str">
        <f>"395,000"</f>
        <v>395,000</v>
      </c>
      <c r="P106" s="7" t="str">
        <f>"300,000"</f>
        <v>300,000</v>
      </c>
      <c r="Q106" s="7" t="str">
        <f>"32,990"</f>
        <v>32,990</v>
      </c>
      <c r="R106" s="1" t="str">
        <f>"2 X GE CF6-80C2 or PW4000"</f>
        <v>2 X GE CF6-80C2 or PW4000</v>
      </c>
      <c r="S106" s="1"/>
      <c r="T106" s="1"/>
      <c r="U106" s="1">
        <f t="shared" si="44"/>
        <v>129.50819672131146</v>
      </c>
      <c r="V106" s="7" t="str">
        <f t="shared" si="64"/>
        <v>M 0.86</v>
      </c>
      <c r="W106" s="7" t="str">
        <f t="shared" si="65"/>
        <v>M 0.80</v>
      </c>
      <c r="X106" s="7" t="str">
        <f>"8,150"</f>
        <v>8,150</v>
      </c>
      <c r="Y106" s="7" t="str">
        <f>"5,300"</f>
        <v>5,300</v>
      </c>
      <c r="Z106" s="7" t="str">
        <f>"6,585"</f>
        <v>6,585</v>
      </c>
      <c r="AA106" s="1" t="str">
        <f>"First flight March 1984."</f>
        <v>First flight March 1984.</v>
      </c>
    </row>
    <row r="107" spans="1:27" ht="19.95" customHeight="1">
      <c r="A107" s="3" t="str">
        <f t="shared" si="62"/>
        <v>Boeing Commercial Airplanes</v>
      </c>
      <c r="B107" s="4" t="str">
        <f t="shared" si="62"/>
        <v>Boeing Commercial Airplanes</v>
      </c>
      <c r="C107" s="3" t="str">
        <f t="shared" ref="C107:C136" si="70">"Renton"</f>
        <v>Renton</v>
      </c>
      <c r="D107" s="3" t="str">
        <f t="shared" ref="D107:D136" si="71">"Washington"</f>
        <v>Washington</v>
      </c>
      <c r="E107" s="3" t="str">
        <f t="shared" ref="E107:E136" si="72">"United States"</f>
        <v>United States</v>
      </c>
      <c r="F107" s="3" t="str">
        <f>"767-300"</f>
        <v>767-300</v>
      </c>
      <c r="G107" s="3" t="str">
        <f t="shared" si="66"/>
        <v>Wide-Body Turbofans</v>
      </c>
      <c r="H107" s="8" t="str">
        <f t="shared" si="63"/>
        <v>2</v>
      </c>
      <c r="I107" s="8" t="str">
        <f>"218"</f>
        <v>218</v>
      </c>
      <c r="J107" s="8" t="str">
        <f t="shared" si="67"/>
        <v>156.1</v>
      </c>
      <c r="K107" s="8" t="str">
        <f t="shared" si="68"/>
        <v>3,050</v>
      </c>
      <c r="L107" s="8" t="str">
        <f>"180.3"</f>
        <v>180.3</v>
      </c>
      <c r="M107" s="8" t="str">
        <f t="shared" si="69"/>
        <v>52</v>
      </c>
      <c r="N107" s="8" t="str">
        <f>"196,800"</f>
        <v>196,800</v>
      </c>
      <c r="O107" s="8" t="str">
        <f>"351,000"</f>
        <v>351,000</v>
      </c>
      <c r="P107" s="8" t="str">
        <f>"300,000"</f>
        <v>300,000</v>
      </c>
      <c r="Q107" s="8" t="str">
        <f>"36,220"</f>
        <v>36,220</v>
      </c>
      <c r="R107" s="3" t="str">
        <f>"2 X GE CF6-80C2 or PW4000 or RB211"</f>
        <v>2 X GE CF6-80C2 or PW4000 or RB211</v>
      </c>
      <c r="S107" s="3"/>
      <c r="T107" s="3"/>
      <c r="U107" s="1">
        <f t="shared" si="44"/>
        <v>115.08196721311475</v>
      </c>
      <c r="V107" s="8" t="str">
        <f t="shared" si="64"/>
        <v>M 0.86</v>
      </c>
      <c r="W107" s="8" t="str">
        <f t="shared" si="65"/>
        <v>M 0.80</v>
      </c>
      <c r="X107" s="8" t="str">
        <f>"6,700"</f>
        <v>6,700</v>
      </c>
      <c r="Y107" s="8" t="str">
        <f>"5,200"</f>
        <v>5,200</v>
      </c>
      <c r="Z107" s="8" t="str">
        <f>"4,345"</f>
        <v>4,345</v>
      </c>
      <c r="AA107" s="3" t="str">
        <f>"Out of production."</f>
        <v>Out of production.</v>
      </c>
    </row>
    <row r="108" spans="1:27" ht="19.95" customHeight="1">
      <c r="A108" s="1" t="str">
        <f t="shared" si="62"/>
        <v>Boeing Commercial Airplanes</v>
      </c>
      <c r="B108" s="2" t="str">
        <f t="shared" si="62"/>
        <v>Boeing Commercial Airplanes</v>
      </c>
      <c r="C108" s="1" t="str">
        <f t="shared" si="70"/>
        <v>Renton</v>
      </c>
      <c r="D108" s="1" t="str">
        <f t="shared" si="71"/>
        <v>Washington</v>
      </c>
      <c r="E108" s="1" t="str">
        <f t="shared" si="72"/>
        <v>United States</v>
      </c>
      <c r="F108" s="1" t="str">
        <f>"767-300BCF"</f>
        <v>767-300BCF</v>
      </c>
      <c r="G108" s="1" t="str">
        <f t="shared" si="66"/>
        <v>Wide-Body Turbofans</v>
      </c>
      <c r="H108" s="7" t="str">
        <f t="shared" si="63"/>
        <v>2</v>
      </c>
      <c r="I108" s="7" t="str">
        <f>"0"</f>
        <v>0</v>
      </c>
      <c r="J108" s="7" t="str">
        <f t="shared" si="67"/>
        <v>156.1</v>
      </c>
      <c r="K108" s="7" t="str">
        <f t="shared" si="68"/>
        <v>3,050</v>
      </c>
      <c r="L108" s="7" t="str">
        <f>"180.3"</f>
        <v>180.3</v>
      </c>
      <c r="M108" s="7" t="str">
        <f t="shared" si="69"/>
        <v>52</v>
      </c>
      <c r="N108" s="7" t="str">
        <f>"198,150"</f>
        <v>198,150</v>
      </c>
      <c r="O108" s="7" t="str">
        <f>"351,000"</f>
        <v>351,000</v>
      </c>
      <c r="P108" s="7" t="str">
        <f>"300,000"</f>
        <v>300,000</v>
      </c>
      <c r="Q108" s="7" t="str">
        <f>"79,850"</f>
        <v>79,850</v>
      </c>
      <c r="R108" s="1" t="str">
        <f>"2 X GE CF6-80A2 or JT9D or RB211"</f>
        <v>2 X GE CF6-80A2 or JT9D or RB211</v>
      </c>
      <c r="S108" s="1"/>
      <c r="T108" s="1"/>
      <c r="U108" s="1">
        <f t="shared" si="44"/>
        <v>115.08196721311475</v>
      </c>
      <c r="V108" s="7" t="str">
        <f t="shared" si="64"/>
        <v>M 0.86</v>
      </c>
      <c r="W108" s="7" t="str">
        <f t="shared" si="65"/>
        <v>M 0.80</v>
      </c>
      <c r="X108" s="7" t="str">
        <f>""</f>
        <v/>
      </c>
      <c r="Y108" s="7" t="str">
        <f>""</f>
        <v/>
      </c>
      <c r="Z108" s="7" t="str">
        <f>"2,220"</f>
        <v>2,220</v>
      </c>
      <c r="AA108" s="1" t="str">
        <f>""</f>
        <v/>
      </c>
    </row>
    <row r="109" spans="1:27" ht="19.95" customHeight="1">
      <c r="A109" s="3" t="str">
        <f t="shared" si="62"/>
        <v>Boeing Commercial Airplanes</v>
      </c>
      <c r="B109" s="4" t="str">
        <f t="shared" si="62"/>
        <v>Boeing Commercial Airplanes</v>
      </c>
      <c r="C109" s="3" t="str">
        <f t="shared" si="70"/>
        <v>Renton</v>
      </c>
      <c r="D109" s="3" t="str">
        <f t="shared" si="71"/>
        <v>Washington</v>
      </c>
      <c r="E109" s="3" t="str">
        <f t="shared" si="72"/>
        <v>United States</v>
      </c>
      <c r="F109" s="3" t="str">
        <f>"767-300BCF ER"</f>
        <v>767-300BCF ER</v>
      </c>
      <c r="G109" s="3" t="str">
        <f t="shared" si="66"/>
        <v>Wide-Body Turbofans</v>
      </c>
      <c r="H109" s="8" t="str">
        <f t="shared" si="63"/>
        <v>2</v>
      </c>
      <c r="I109" s="8" t="str">
        <f>"0"</f>
        <v>0</v>
      </c>
      <c r="J109" s="8" t="str">
        <f t="shared" si="67"/>
        <v>156.1</v>
      </c>
      <c r="K109" s="8" t="str">
        <f t="shared" si="68"/>
        <v>3,050</v>
      </c>
      <c r="L109" s="8" t="str">
        <f>"180.3"</f>
        <v>180.3</v>
      </c>
      <c r="M109" s="8" t="str">
        <f t="shared" si="69"/>
        <v>52</v>
      </c>
      <c r="N109" s="8" t="str">
        <f>"194,300"</f>
        <v>194,300</v>
      </c>
      <c r="O109" s="8" t="str">
        <f>"412,000"</f>
        <v>412,000</v>
      </c>
      <c r="P109" s="8" t="str">
        <f>"326,000"</f>
        <v>326,000</v>
      </c>
      <c r="Q109" s="8" t="str">
        <f>"114,700"</f>
        <v>114,700</v>
      </c>
      <c r="R109" s="3" t="str">
        <f>"2 X GE CF6-80C2 or PW4000 or RB211"</f>
        <v>2 X GE CF6-80C2 or PW4000 or RB211</v>
      </c>
      <c r="S109" s="3"/>
      <c r="T109" s="3"/>
      <c r="U109" s="1">
        <f t="shared" si="44"/>
        <v>135.08196721311475</v>
      </c>
      <c r="V109" s="8" t="str">
        <f t="shared" si="64"/>
        <v>M 0.86</v>
      </c>
      <c r="W109" s="8" t="str">
        <f t="shared" si="65"/>
        <v>M 0.80</v>
      </c>
      <c r="X109" s="8" t="str">
        <f>""</f>
        <v/>
      </c>
      <c r="Y109" s="8" t="str">
        <f>""</f>
        <v/>
      </c>
      <c r="Z109" s="8" t="str">
        <f>"3,100"</f>
        <v>3,100</v>
      </c>
      <c r="AA109" s="3" t="str">
        <f>""</f>
        <v/>
      </c>
    </row>
    <row r="110" spans="1:27" ht="19.95" customHeight="1">
      <c r="A110" s="1" t="str">
        <f t="shared" si="62"/>
        <v>Boeing Commercial Airplanes</v>
      </c>
      <c r="B110" s="2" t="str">
        <f t="shared" si="62"/>
        <v>Boeing Commercial Airplanes</v>
      </c>
      <c r="C110" s="1" t="str">
        <f t="shared" si="70"/>
        <v>Renton</v>
      </c>
      <c r="D110" s="1" t="str">
        <f t="shared" si="71"/>
        <v>Washington</v>
      </c>
      <c r="E110" s="1" t="str">
        <f t="shared" si="72"/>
        <v>United States</v>
      </c>
      <c r="F110" s="1" t="str">
        <f>"767-300ER"</f>
        <v>767-300ER</v>
      </c>
      <c r="G110" s="1" t="str">
        <f t="shared" si="66"/>
        <v>Wide-Body Turbofans</v>
      </c>
      <c r="H110" s="7" t="str">
        <f t="shared" si="63"/>
        <v>2</v>
      </c>
      <c r="I110" s="7" t="str">
        <f>"218"</f>
        <v>218</v>
      </c>
      <c r="J110" s="7" t="str">
        <f t="shared" si="67"/>
        <v>156.1</v>
      </c>
      <c r="K110" s="7" t="str">
        <f t="shared" si="68"/>
        <v>3,050</v>
      </c>
      <c r="L110" s="7" t="str">
        <f>"180.3"</f>
        <v>180.3</v>
      </c>
      <c r="M110" s="7" t="str">
        <f t="shared" si="69"/>
        <v>52</v>
      </c>
      <c r="N110" s="7" t="str">
        <f>"203,500"</f>
        <v>203,500</v>
      </c>
      <c r="O110" s="7" t="str">
        <f>"412,000"</f>
        <v>412,000</v>
      </c>
      <c r="P110" s="7" t="str">
        <f>"320,000"</f>
        <v>320,000</v>
      </c>
      <c r="Q110" s="7" t="str">
        <f>"45,720"</f>
        <v>45,720</v>
      </c>
      <c r="R110" s="1" t="str">
        <f>"2 X GE CF6-80C2 or PW4000"</f>
        <v>2 X GE CF6-80C2 or PW4000</v>
      </c>
      <c r="S110" s="1"/>
      <c r="T110" s="1"/>
      <c r="U110" s="1">
        <f t="shared" si="44"/>
        <v>135.08196721311475</v>
      </c>
      <c r="V110" s="7" t="str">
        <f t="shared" si="64"/>
        <v>M 0.86</v>
      </c>
      <c r="W110" s="7" t="str">
        <f t="shared" si="65"/>
        <v>M 0.80</v>
      </c>
      <c r="X110" s="7" t="str">
        <f>"8,900"</f>
        <v>8,900</v>
      </c>
      <c r="Y110" s="7" t="str">
        <f>"5,500"</f>
        <v>5,500</v>
      </c>
      <c r="Z110" s="7" t="str">
        <f>"5,975"</f>
        <v>5,975</v>
      </c>
      <c r="AA110" s="1" t="str">
        <f>"First flight December 1986."</f>
        <v>First flight December 1986.</v>
      </c>
    </row>
    <row r="111" spans="1:27" ht="19.95" customHeight="1">
      <c r="A111" s="3" t="str">
        <f t="shared" si="62"/>
        <v>Boeing Commercial Airplanes</v>
      </c>
      <c r="B111" s="4" t="str">
        <f t="shared" si="62"/>
        <v>Boeing Commercial Airplanes</v>
      </c>
      <c r="C111" s="3" t="str">
        <f t="shared" si="70"/>
        <v>Renton</v>
      </c>
      <c r="D111" s="3" t="str">
        <f t="shared" si="71"/>
        <v>Washington</v>
      </c>
      <c r="E111" s="3" t="str">
        <f t="shared" si="72"/>
        <v>United States</v>
      </c>
      <c r="F111" s="3" t="str">
        <f>"767-300F"</f>
        <v>767-300F</v>
      </c>
      <c r="G111" s="3" t="str">
        <f t="shared" si="66"/>
        <v>Wide-Body Turbofans</v>
      </c>
      <c r="H111" s="8" t="str">
        <f t="shared" si="63"/>
        <v>2</v>
      </c>
      <c r="I111" s="8" t="str">
        <f>"0"</f>
        <v>0</v>
      </c>
      <c r="J111" s="8" t="str">
        <f t="shared" si="67"/>
        <v>156.1</v>
      </c>
      <c r="K111" s="8" t="str">
        <f t="shared" si="68"/>
        <v>3,050</v>
      </c>
      <c r="L111" s="8" t="str">
        <f>"180.3"</f>
        <v>180.3</v>
      </c>
      <c r="M111" s="8" t="str">
        <f t="shared" si="69"/>
        <v>52</v>
      </c>
      <c r="N111" s="8" t="str">
        <f>"192,800"</f>
        <v>192,800</v>
      </c>
      <c r="O111" s="8" t="str">
        <f>"412,000"</f>
        <v>412,000</v>
      </c>
      <c r="P111" s="8" t="str">
        <f>"326,000"</f>
        <v>326,000</v>
      </c>
      <c r="Q111" s="8" t="str">
        <f>"116,200"</f>
        <v>116,200</v>
      </c>
      <c r="R111" s="3" t="str">
        <f>"2 X GE CF6-80C2"</f>
        <v>2 X GE CF6-80C2</v>
      </c>
      <c r="S111" s="3"/>
      <c r="T111" s="3"/>
      <c r="U111" s="1">
        <f t="shared" si="44"/>
        <v>135.08196721311475</v>
      </c>
      <c r="V111" s="8" t="str">
        <f t="shared" si="64"/>
        <v>M 0.86</v>
      </c>
      <c r="W111" s="8" t="str">
        <f t="shared" si="65"/>
        <v>M 0.80</v>
      </c>
      <c r="X111" s="8" t="str">
        <f>"9,300"</f>
        <v>9,300</v>
      </c>
      <c r="Y111" s="8" t="str">
        <f>"5,600"</f>
        <v>5,600</v>
      </c>
      <c r="Z111" s="8" t="str">
        <f>"3,255"</f>
        <v>3,255</v>
      </c>
      <c r="AA111" s="3" t="str">
        <f>"First flight June 1995."</f>
        <v>First flight June 1995.</v>
      </c>
    </row>
    <row r="112" spans="1:27" ht="19.95" customHeight="1">
      <c r="A112" s="1" t="str">
        <f t="shared" si="62"/>
        <v>Boeing Commercial Airplanes</v>
      </c>
      <c r="B112" s="2" t="str">
        <f t="shared" si="62"/>
        <v>Boeing Commercial Airplanes</v>
      </c>
      <c r="C112" s="1" t="str">
        <f t="shared" si="70"/>
        <v>Renton</v>
      </c>
      <c r="D112" s="1" t="str">
        <f t="shared" si="71"/>
        <v>Washington</v>
      </c>
      <c r="E112" s="1" t="str">
        <f t="shared" si="72"/>
        <v>United States</v>
      </c>
      <c r="F112" s="1" t="str">
        <f>"767-400ER"</f>
        <v>767-400ER</v>
      </c>
      <c r="G112" s="1" t="str">
        <f t="shared" si="66"/>
        <v>Wide-Body Turbofans</v>
      </c>
      <c r="H112" s="7" t="str">
        <f t="shared" si="63"/>
        <v>2</v>
      </c>
      <c r="I112" s="7" t="str">
        <f>"245"</f>
        <v>245</v>
      </c>
      <c r="J112" s="7" t="str">
        <f>"170.3"</f>
        <v>170.3</v>
      </c>
      <c r="K112" s="7" t="str">
        <f>"3,130"</f>
        <v>3,130</v>
      </c>
      <c r="L112" s="7" t="str">
        <f>"201.3"</f>
        <v>201.3</v>
      </c>
      <c r="M112" s="7" t="str">
        <f>"55.3"</f>
        <v>55.3</v>
      </c>
      <c r="N112" s="7" t="str">
        <f>"228,900"</f>
        <v>228,900</v>
      </c>
      <c r="O112" s="7" t="str">
        <f>"450,000"</f>
        <v>450,000</v>
      </c>
      <c r="P112" s="7" t="str">
        <f>"350,000"</f>
        <v>350,000</v>
      </c>
      <c r="Q112" s="7" t="str">
        <f>"49,650"</f>
        <v>49,650</v>
      </c>
      <c r="R112" s="1" t="str">
        <f>"2 X GE CF6-80C2 or PW4000"</f>
        <v>2 X GE CF6-80C2 or PW4000</v>
      </c>
      <c r="S112" s="1"/>
      <c r="T112" s="1"/>
      <c r="U112" s="1">
        <f t="shared" si="44"/>
        <v>143.76996805111821</v>
      </c>
      <c r="V112" s="7" t="str">
        <f t="shared" si="64"/>
        <v>M 0.86</v>
      </c>
      <c r="W112" s="7" t="str">
        <f t="shared" si="65"/>
        <v>M 0.80</v>
      </c>
      <c r="X112" s="7" t="str">
        <f>"10,800"</f>
        <v>10,800</v>
      </c>
      <c r="Y112" s="7" t="str">
        <f>"6,200"</f>
        <v>6,200</v>
      </c>
      <c r="Z112" s="7" t="str">
        <f>"5,625"</f>
        <v>5,625</v>
      </c>
      <c r="AA112" s="1" t="str">
        <f>"First flight October 1999."</f>
        <v>First flight October 1999.</v>
      </c>
    </row>
    <row r="113" spans="1:27" ht="19.95" customHeight="1">
      <c r="A113" s="3" t="str">
        <f t="shared" si="62"/>
        <v>Boeing Commercial Airplanes</v>
      </c>
      <c r="B113" s="4" t="str">
        <f t="shared" si="62"/>
        <v>Boeing Commercial Airplanes</v>
      </c>
      <c r="C113" s="3" t="str">
        <f t="shared" si="70"/>
        <v>Renton</v>
      </c>
      <c r="D113" s="3" t="str">
        <f t="shared" si="71"/>
        <v>Washington</v>
      </c>
      <c r="E113" s="3" t="str">
        <f t="shared" si="72"/>
        <v>United States</v>
      </c>
      <c r="F113" s="3" t="str">
        <f>"777 Freighter"</f>
        <v>777 Freighter</v>
      </c>
      <c r="G113" s="3" t="str">
        <f t="shared" si="66"/>
        <v>Wide-Body Turbofans</v>
      </c>
      <c r="H113" s="8" t="str">
        <f t="shared" si="63"/>
        <v>2</v>
      </c>
      <c r="I113" s="8" t="str">
        <f>"0"</f>
        <v>0</v>
      </c>
      <c r="J113" s="8" t="str">
        <f>"212.6"</f>
        <v>212.6</v>
      </c>
      <c r="K113" s="8" t="str">
        <f>"4,702"</f>
        <v>4,702</v>
      </c>
      <c r="L113" s="8" t="str">
        <f>"209.1"</f>
        <v>209.1</v>
      </c>
      <c r="M113" s="8" t="str">
        <f>"61.1"</f>
        <v>61.1</v>
      </c>
      <c r="N113" s="8" t="str">
        <f>"321,800"</f>
        <v>321,800</v>
      </c>
      <c r="O113" s="8" t="str">
        <f>"766,000"</f>
        <v>766,000</v>
      </c>
      <c r="P113" s="8" t="str">
        <f>"575,000"</f>
        <v>575,000</v>
      </c>
      <c r="Q113" s="8" t="str">
        <f>"225,200"</f>
        <v>225,200</v>
      </c>
      <c r="R113" s="3" t="str">
        <f>"2 X GE90-110B or GE90-115B"</f>
        <v>2 X GE90-110B or GE90-115B</v>
      </c>
      <c r="S113" s="3"/>
      <c r="T113" s="3"/>
      <c r="U113" s="1">
        <f t="shared" si="44"/>
        <v>162.90940025521056</v>
      </c>
      <c r="V113" s="8" t="str">
        <f>"M 0.89"</f>
        <v>M 0.89</v>
      </c>
      <c r="W113" s="8" t="str">
        <f t="shared" ref="W113:W118" si="73">"M 0.84"</f>
        <v>M 0.84</v>
      </c>
      <c r="X113" s="8" t="str">
        <f>"9,800"</f>
        <v>9,800</v>
      </c>
      <c r="Y113" s="8" t="str">
        <f>"5,850"</f>
        <v>5,850</v>
      </c>
      <c r="Z113" s="8" t="str">
        <f>"4,900"</f>
        <v>4,900</v>
      </c>
      <c r="AA113" s="3" t="str">
        <f>"First flight July 2008."</f>
        <v>First flight July 2008.</v>
      </c>
    </row>
    <row r="114" spans="1:27" ht="19.95" customHeight="1">
      <c r="A114" s="1" t="str">
        <f t="shared" si="62"/>
        <v>Boeing Commercial Airplanes</v>
      </c>
      <c r="B114" s="2" t="str">
        <f t="shared" si="62"/>
        <v>Boeing Commercial Airplanes</v>
      </c>
      <c r="C114" s="1" t="str">
        <f t="shared" si="70"/>
        <v>Renton</v>
      </c>
      <c r="D114" s="1" t="str">
        <f t="shared" si="71"/>
        <v>Washington</v>
      </c>
      <c r="E114" s="1" t="str">
        <f t="shared" si="72"/>
        <v>United States</v>
      </c>
      <c r="F114" s="1" t="str">
        <f>"777-200"</f>
        <v>777-200</v>
      </c>
      <c r="G114" s="1" t="str">
        <f t="shared" si="66"/>
        <v>Wide-Body Turbofans</v>
      </c>
      <c r="H114" s="7" t="str">
        <f t="shared" si="63"/>
        <v>2</v>
      </c>
      <c r="I114" s="7" t="str">
        <f>"305"</f>
        <v>305</v>
      </c>
      <c r="J114" s="7" t="str">
        <f>"199.9"</f>
        <v>199.9</v>
      </c>
      <c r="K114" s="7" t="str">
        <f>"4,605"</f>
        <v>4,605</v>
      </c>
      <c r="L114" s="7" t="str">
        <f>"209.1"</f>
        <v>209.1</v>
      </c>
      <c r="M114" s="7" t="str">
        <f>"60.8"</f>
        <v>60.8</v>
      </c>
      <c r="N114" s="7" t="str">
        <f>"302,400"</f>
        <v>302,400</v>
      </c>
      <c r="O114" s="7" t="str">
        <f>"545,000"</f>
        <v>545,000</v>
      </c>
      <c r="P114" s="7" t="str">
        <f>"445,000"</f>
        <v>445,000</v>
      </c>
      <c r="Q114" s="7" t="str">
        <f>"53,550"</f>
        <v>53,550</v>
      </c>
      <c r="R114" s="1" t="str">
        <f>"2 X GE90-77B or PW4077 or Rolls-Royce Trent 877"</f>
        <v>2 X GE90-77B or PW4077 or Rolls-Royce Trent 877</v>
      </c>
      <c r="S114" s="1"/>
      <c r="T114" s="1"/>
      <c r="U114" s="1">
        <f t="shared" si="44"/>
        <v>118.34961997828448</v>
      </c>
      <c r="V114" s="7" t="str">
        <f>"M 0.87"</f>
        <v>M 0.87</v>
      </c>
      <c r="W114" s="7" t="str">
        <f t="shared" si="73"/>
        <v>M 0.84</v>
      </c>
      <c r="X114" s="7" t="str">
        <f>"8,450"</f>
        <v>8,450</v>
      </c>
      <c r="Y114" s="7" t="str">
        <f>"5,100"</f>
        <v>5,100</v>
      </c>
      <c r="Z114" s="7" t="str">
        <f>"5,240"</f>
        <v>5,240</v>
      </c>
      <c r="AA114" s="1" t="str">
        <f>"First flight June 1994."</f>
        <v>First flight June 1994.</v>
      </c>
    </row>
    <row r="115" spans="1:27" ht="19.95" customHeight="1">
      <c r="A115" s="3" t="str">
        <f t="shared" ref="A115:B136" si="74">"Boeing Commercial Airplanes"</f>
        <v>Boeing Commercial Airplanes</v>
      </c>
      <c r="B115" s="4" t="str">
        <f t="shared" si="74"/>
        <v>Boeing Commercial Airplanes</v>
      </c>
      <c r="C115" s="3" t="str">
        <f t="shared" si="70"/>
        <v>Renton</v>
      </c>
      <c r="D115" s="3" t="str">
        <f t="shared" si="71"/>
        <v>Washington</v>
      </c>
      <c r="E115" s="3" t="str">
        <f t="shared" si="72"/>
        <v>United States</v>
      </c>
      <c r="F115" s="3" t="str">
        <f>"777-200ER"</f>
        <v>777-200ER</v>
      </c>
      <c r="G115" s="3" t="str">
        <f t="shared" si="66"/>
        <v>Wide-Body Turbofans</v>
      </c>
      <c r="H115" s="8" t="str">
        <f t="shared" si="63"/>
        <v>2</v>
      </c>
      <c r="I115" s="8" t="str">
        <f>"301"</f>
        <v>301</v>
      </c>
      <c r="J115" s="8" t="str">
        <f>"199.9"</f>
        <v>199.9</v>
      </c>
      <c r="K115" s="8" t="str">
        <f>"4,605"</f>
        <v>4,605</v>
      </c>
      <c r="L115" s="8" t="str">
        <f>"209.1"</f>
        <v>209.1</v>
      </c>
      <c r="M115" s="8" t="str">
        <f>"60.8"</f>
        <v>60.8</v>
      </c>
      <c r="N115" s="8" t="str">
        <f>"320,800"</f>
        <v>320,800</v>
      </c>
      <c r="O115" s="8" t="str">
        <f>"656,000"</f>
        <v>656,000</v>
      </c>
      <c r="P115" s="8" t="str">
        <f>"470,000"</f>
        <v>470,000</v>
      </c>
      <c r="Q115" s="8" t="str">
        <f>"57,990"</f>
        <v>57,990</v>
      </c>
      <c r="R115" s="3" t="str">
        <f>"2 X GE90-94B or PW4090 or Rolls-Royce Trent 895"</f>
        <v>2 X GE90-94B or PW4090 or Rolls-Royce Trent 895</v>
      </c>
      <c r="S115" s="3"/>
      <c r="T115" s="3"/>
      <c r="U115" s="1">
        <f t="shared" si="44"/>
        <v>142.45385450597178</v>
      </c>
      <c r="V115" s="8" t="str">
        <f>"M 0.87"</f>
        <v>M 0.87</v>
      </c>
      <c r="W115" s="8" t="str">
        <f t="shared" si="73"/>
        <v>M 0.84</v>
      </c>
      <c r="X115" s="8" t="str">
        <f>"10,000"</f>
        <v>10,000</v>
      </c>
      <c r="Y115" s="8" t="str">
        <f>"5,350"</f>
        <v>5,350</v>
      </c>
      <c r="Z115" s="8" t="str">
        <f>"7,725"</f>
        <v>7,725</v>
      </c>
      <c r="AA115" s="3" t="str">
        <f>"First flight October 1996."</f>
        <v>First flight October 1996.</v>
      </c>
    </row>
    <row r="116" spans="1:27" ht="19.95" customHeight="1">
      <c r="A116" s="1" t="str">
        <f t="shared" si="74"/>
        <v>Boeing Commercial Airplanes</v>
      </c>
      <c r="B116" s="2" t="str">
        <f t="shared" si="74"/>
        <v>Boeing Commercial Airplanes</v>
      </c>
      <c r="C116" s="1" t="str">
        <f t="shared" si="70"/>
        <v>Renton</v>
      </c>
      <c r="D116" s="1" t="str">
        <f t="shared" si="71"/>
        <v>Washington</v>
      </c>
      <c r="E116" s="1" t="str">
        <f t="shared" si="72"/>
        <v>United States</v>
      </c>
      <c r="F116" s="1" t="str">
        <f>"777-200LR"</f>
        <v>777-200LR</v>
      </c>
      <c r="G116" s="1" t="str">
        <f t="shared" si="66"/>
        <v>Wide-Body Turbofans</v>
      </c>
      <c r="H116" s="7" t="str">
        <f t="shared" si="63"/>
        <v>2</v>
      </c>
      <c r="I116" s="7" t="str">
        <f>"301"</f>
        <v>301</v>
      </c>
      <c r="J116" s="7" t="str">
        <f>"212.6"</f>
        <v>212.6</v>
      </c>
      <c r="K116" s="7" t="str">
        <f>"4,702"</f>
        <v>4,702</v>
      </c>
      <c r="L116" s="7" t="str">
        <f>"209.1"</f>
        <v>209.1</v>
      </c>
      <c r="M116" s="7" t="str">
        <f>"61.1"</f>
        <v>61.1</v>
      </c>
      <c r="N116" s="7" t="str">
        <f>"346,300"</f>
        <v>346,300</v>
      </c>
      <c r="O116" s="7" t="str">
        <f>"766,000"</f>
        <v>766,000</v>
      </c>
      <c r="P116" s="7" t="str">
        <f>"492,000"</f>
        <v>492,000</v>
      </c>
      <c r="Q116" s="7" t="str">
        <f>"51,490"</f>
        <v>51,490</v>
      </c>
      <c r="R116" s="1" t="str">
        <f>"2 X GE90-110B or GE90-115B"</f>
        <v>2 X GE90-110B or GE90-115B</v>
      </c>
      <c r="S116" s="1"/>
      <c r="T116" s="1"/>
      <c r="U116" s="1">
        <f t="shared" si="44"/>
        <v>162.90940025521056</v>
      </c>
      <c r="V116" s="7" t="str">
        <f>"M 0.89"</f>
        <v>M 0.89</v>
      </c>
      <c r="W116" s="7" t="str">
        <f t="shared" si="73"/>
        <v>M 0.84</v>
      </c>
      <c r="X116" s="7" t="str">
        <f>"9,700"</f>
        <v>9,700</v>
      </c>
      <c r="Y116" s="7" t="str">
        <f>"5,250"</f>
        <v>5,250</v>
      </c>
      <c r="Z116" s="7" t="str">
        <f>"9,395"</f>
        <v>9,395</v>
      </c>
      <c r="AA116" s="1" t="str">
        <f>"First flight March 2005."</f>
        <v>First flight March 2005.</v>
      </c>
    </row>
    <row r="117" spans="1:27" ht="19.95" customHeight="1">
      <c r="A117" s="3" t="str">
        <f t="shared" si="74"/>
        <v>Boeing Commercial Airplanes</v>
      </c>
      <c r="B117" s="4" t="str">
        <f t="shared" si="74"/>
        <v>Boeing Commercial Airplanes</v>
      </c>
      <c r="C117" s="3" t="str">
        <f t="shared" si="70"/>
        <v>Renton</v>
      </c>
      <c r="D117" s="3" t="str">
        <f t="shared" si="71"/>
        <v>Washington</v>
      </c>
      <c r="E117" s="3" t="str">
        <f t="shared" si="72"/>
        <v>United States</v>
      </c>
      <c r="F117" s="3" t="str">
        <f>"777-300"</f>
        <v>777-300</v>
      </c>
      <c r="G117" s="3" t="str">
        <f t="shared" si="66"/>
        <v>Wide-Body Turbofans</v>
      </c>
      <c r="H117" s="8" t="str">
        <f t="shared" si="63"/>
        <v>2</v>
      </c>
      <c r="I117" s="8" t="str">
        <f>"368"</f>
        <v>368</v>
      </c>
      <c r="J117" s="8" t="str">
        <f>"199.9"</f>
        <v>199.9</v>
      </c>
      <c r="K117" s="8" t="str">
        <f>"4,605"</f>
        <v>4,605</v>
      </c>
      <c r="L117" s="8" t="str">
        <f>"242.3"</f>
        <v>242.3</v>
      </c>
      <c r="M117" s="8" t="str">
        <f>"60.7"</f>
        <v>60.7</v>
      </c>
      <c r="N117" s="8" t="str">
        <f>"342,500"</f>
        <v>342,500</v>
      </c>
      <c r="O117" s="8" t="str">
        <f>"660,000"</f>
        <v>660,000</v>
      </c>
      <c r="P117" s="8" t="str">
        <f>"524,000"</f>
        <v>524,000</v>
      </c>
      <c r="Q117" s="8" t="str">
        <f>"75,220"</f>
        <v>75,220</v>
      </c>
      <c r="R117" s="3" t="str">
        <f>"2 X PW4098 or Rolls-Royce Trent 892"</f>
        <v>2 X PW4098 or Rolls-Royce Trent 892</v>
      </c>
      <c r="S117" s="3"/>
      <c r="T117" s="3"/>
      <c r="U117" s="1">
        <f t="shared" si="44"/>
        <v>143.32247557003257</v>
      </c>
      <c r="V117" s="8" t="str">
        <f>"M 0.89"</f>
        <v>M 0.89</v>
      </c>
      <c r="W117" s="8" t="str">
        <f t="shared" si="73"/>
        <v>M 0.84</v>
      </c>
      <c r="X117" s="8" t="str">
        <f>"12,250"</f>
        <v>12,250</v>
      </c>
      <c r="Y117" s="8" t="str">
        <f>"6,050"</f>
        <v>6,050</v>
      </c>
      <c r="Z117" s="8" t="str">
        <f>"6,005"</f>
        <v>6,005</v>
      </c>
      <c r="AA117" s="3" t="str">
        <f>"First flight October 1997."</f>
        <v>First flight October 1997.</v>
      </c>
    </row>
    <row r="118" spans="1:27" ht="19.95" customHeight="1">
      <c r="A118" s="1" t="str">
        <f t="shared" si="74"/>
        <v>Boeing Commercial Airplanes</v>
      </c>
      <c r="B118" s="2" t="str">
        <f t="shared" si="74"/>
        <v>Boeing Commercial Airplanes</v>
      </c>
      <c r="C118" s="1" t="str">
        <f t="shared" si="70"/>
        <v>Renton</v>
      </c>
      <c r="D118" s="1" t="str">
        <f t="shared" si="71"/>
        <v>Washington</v>
      </c>
      <c r="E118" s="1" t="str">
        <f t="shared" si="72"/>
        <v>United States</v>
      </c>
      <c r="F118" s="1" t="str">
        <f>"777-300ER"</f>
        <v>777-300ER</v>
      </c>
      <c r="G118" s="1" t="str">
        <f t="shared" si="66"/>
        <v>Wide-Body Turbofans</v>
      </c>
      <c r="H118" s="7" t="str">
        <f t="shared" si="63"/>
        <v>2</v>
      </c>
      <c r="I118" s="7" t="str">
        <f>"365"</f>
        <v>365</v>
      </c>
      <c r="J118" s="7" t="str">
        <f>"212.6"</f>
        <v>212.6</v>
      </c>
      <c r="K118" s="7" t="str">
        <f>"4,702"</f>
        <v>4,702</v>
      </c>
      <c r="L118" s="7" t="str">
        <f>"242.3"</f>
        <v>242.3</v>
      </c>
      <c r="M118" s="7" t="str">
        <f>"60.7"</f>
        <v>60.7</v>
      </c>
      <c r="N118" s="7" t="str">
        <f>"372,100"</f>
        <v>372,100</v>
      </c>
      <c r="O118" s="7" t="str">
        <f>"775,000"</f>
        <v>775,000</v>
      </c>
      <c r="P118" s="7" t="str">
        <f>"554,000"</f>
        <v>554,000</v>
      </c>
      <c r="Q118" s="7" t="str">
        <f>"80,250"</f>
        <v>80,250</v>
      </c>
      <c r="R118" s="1" t="str">
        <f>"2 X GE90-115B"</f>
        <v>2 X GE90-115B</v>
      </c>
      <c r="S118" s="1"/>
      <c r="T118" s="1"/>
      <c r="U118" s="1">
        <f t="shared" si="44"/>
        <v>164.82347937048064</v>
      </c>
      <c r="V118" s="7" t="str">
        <f>"M 0.89"</f>
        <v>M 0.89</v>
      </c>
      <c r="W118" s="7" t="str">
        <f t="shared" si="73"/>
        <v>M 0.84</v>
      </c>
      <c r="X118" s="7" t="str">
        <f>"10,550"</f>
        <v>10,550</v>
      </c>
      <c r="Y118" s="7" t="str">
        <f>"5,850"</f>
        <v>5,850</v>
      </c>
      <c r="Z118" s="7" t="str">
        <f>"7,930"</f>
        <v>7,930</v>
      </c>
      <c r="AA118" s="1" t="str">
        <f>"First flight February 2003."</f>
        <v>First flight February 2003.</v>
      </c>
    </row>
    <row r="119" spans="1:27" ht="19.95" customHeight="1">
      <c r="A119" s="3" t="str">
        <f t="shared" si="74"/>
        <v>Boeing Commercial Airplanes</v>
      </c>
      <c r="B119" s="4" t="str">
        <f t="shared" si="74"/>
        <v>Boeing Commercial Airplanes</v>
      </c>
      <c r="C119" s="3" t="str">
        <f t="shared" si="70"/>
        <v>Renton</v>
      </c>
      <c r="D119" s="3" t="str">
        <f t="shared" si="71"/>
        <v>Washington</v>
      </c>
      <c r="E119" s="3" t="str">
        <f t="shared" si="72"/>
        <v>United States</v>
      </c>
      <c r="F119" s="3" t="str">
        <f>"787-3"</f>
        <v>787-3</v>
      </c>
      <c r="G119" s="3" t="str">
        <f t="shared" si="66"/>
        <v>Wide-Body Turbofans</v>
      </c>
      <c r="H119" s="8" t="str">
        <f t="shared" si="63"/>
        <v>2</v>
      </c>
      <c r="I119" s="8" t="str">
        <f>"317"</f>
        <v>317</v>
      </c>
      <c r="J119" s="8" t="str">
        <f>"170"</f>
        <v>170</v>
      </c>
      <c r="K119" s="8" t="str">
        <f>""</f>
        <v/>
      </c>
      <c r="L119" s="8" t="str">
        <f>"186"</f>
        <v>186</v>
      </c>
      <c r="M119" s="8" t="str">
        <f>"56"</f>
        <v>56</v>
      </c>
      <c r="N119" s="8" t="str">
        <f>""</f>
        <v/>
      </c>
      <c r="O119" s="8" t="str">
        <f>"364,000"</f>
        <v>364,000</v>
      </c>
      <c r="P119" s="8" t="str">
        <f>"355,000"</f>
        <v>355,000</v>
      </c>
      <c r="Q119" s="8" t="str">
        <f>""</f>
        <v/>
      </c>
      <c r="R119" s="3" t="str">
        <f>"2 X GEnx-1B or Rolls-Royce Trent 1000"</f>
        <v>2 X GEnx-1B or Rolls-Royce Trent 1000</v>
      </c>
      <c r="S119" s="3"/>
      <c r="T119" s="3"/>
      <c r="U119" s="1" t="e">
        <f t="shared" si="44"/>
        <v>#VALUE!</v>
      </c>
      <c r="V119" s="8" t="str">
        <f>""</f>
        <v/>
      </c>
      <c r="W119" s="8" t="str">
        <f>"M 0.85"</f>
        <v>M 0.85</v>
      </c>
      <c r="X119" s="8" t="str">
        <f>""</f>
        <v/>
      </c>
      <c r="Y119" s="8" t="str">
        <f>""</f>
        <v/>
      </c>
      <c r="Z119" s="8" t="str">
        <f>"2,295"</f>
        <v>2,295</v>
      </c>
      <c r="AA119" s="3" t="str">
        <f>"Entry into service after 2012."</f>
        <v>Entry into service after 2012.</v>
      </c>
    </row>
    <row r="120" spans="1:27" ht="19.95" customHeight="1">
      <c r="A120" s="1" t="str">
        <f t="shared" si="74"/>
        <v>Boeing Commercial Airplanes</v>
      </c>
      <c r="B120" s="2" t="str">
        <f t="shared" si="74"/>
        <v>Boeing Commercial Airplanes</v>
      </c>
      <c r="C120" s="1" t="str">
        <f t="shared" si="70"/>
        <v>Renton</v>
      </c>
      <c r="D120" s="1" t="str">
        <f t="shared" si="71"/>
        <v>Washington</v>
      </c>
      <c r="E120" s="1" t="str">
        <f t="shared" si="72"/>
        <v>United States</v>
      </c>
      <c r="F120" s="1" t="str">
        <f>"787-8"</f>
        <v>787-8</v>
      </c>
      <c r="G120" s="1" t="str">
        <f t="shared" si="66"/>
        <v>Wide-Body Turbofans</v>
      </c>
      <c r="H120" s="7" t="str">
        <f t="shared" si="63"/>
        <v>2</v>
      </c>
      <c r="I120" s="7" t="str">
        <f>"242"</f>
        <v>242</v>
      </c>
      <c r="J120" s="7" t="str">
        <f>"197"</f>
        <v>197</v>
      </c>
      <c r="K120" s="7" t="str">
        <f>""</f>
        <v/>
      </c>
      <c r="L120" s="7" t="str">
        <f>"186"</f>
        <v>186</v>
      </c>
      <c r="M120" s="7" t="str">
        <f>"56"</f>
        <v>56</v>
      </c>
      <c r="N120" s="7" t="str">
        <f>""</f>
        <v/>
      </c>
      <c r="O120" s="7" t="str">
        <f>"484,000"</f>
        <v>484,000</v>
      </c>
      <c r="P120" s="7" t="str">
        <f>"370,000"</f>
        <v>370,000</v>
      </c>
      <c r="Q120" s="7" t="str">
        <f>""</f>
        <v/>
      </c>
      <c r="R120" s="1" t="str">
        <f>"2 X GEnx-1B or Rolls-Royce Trent 1000"</f>
        <v>2 X GEnx-1B or Rolls-Royce Trent 1000</v>
      </c>
      <c r="S120" s="1"/>
      <c r="T120" s="1"/>
      <c r="U120" s="1" t="e">
        <f t="shared" si="44"/>
        <v>#VALUE!</v>
      </c>
      <c r="V120" s="7" t="str">
        <f>""</f>
        <v/>
      </c>
      <c r="W120" s="7" t="str">
        <f>"M 0.85"</f>
        <v>M 0.85</v>
      </c>
      <c r="X120" s="7" t="str">
        <f>""</f>
        <v/>
      </c>
      <c r="Y120" s="7" t="str">
        <f>""</f>
        <v/>
      </c>
      <c r="Z120" s="7" t="str">
        <f>"7,645"</f>
        <v>7,645</v>
      </c>
      <c r="AA120" s="1" t="str">
        <f>"First flight December 2009. Entry into service expected in 2010."</f>
        <v>First flight December 2009. Entry into service expected in 2010.</v>
      </c>
    </row>
    <row r="121" spans="1:27" ht="19.95" customHeight="1">
      <c r="A121" s="3" t="str">
        <f t="shared" si="74"/>
        <v>Boeing Commercial Airplanes</v>
      </c>
      <c r="B121" s="4" t="str">
        <f t="shared" si="74"/>
        <v>Boeing Commercial Airplanes</v>
      </c>
      <c r="C121" s="3" t="str">
        <f t="shared" si="70"/>
        <v>Renton</v>
      </c>
      <c r="D121" s="3" t="str">
        <f t="shared" si="71"/>
        <v>Washington</v>
      </c>
      <c r="E121" s="3" t="str">
        <f t="shared" si="72"/>
        <v>United States</v>
      </c>
      <c r="F121" s="3" t="str">
        <f>"787-9"</f>
        <v>787-9</v>
      </c>
      <c r="G121" s="3" t="str">
        <f t="shared" si="66"/>
        <v>Wide-Body Turbofans</v>
      </c>
      <c r="H121" s="8" t="str">
        <f t="shared" si="63"/>
        <v>2</v>
      </c>
      <c r="I121" s="8" t="str">
        <f>"280"</f>
        <v>280</v>
      </c>
      <c r="J121" s="8" t="str">
        <f>"208"</f>
        <v>208</v>
      </c>
      <c r="K121" s="8" t="str">
        <f>""</f>
        <v/>
      </c>
      <c r="L121" s="8" t="str">
        <f>"206"</f>
        <v>206</v>
      </c>
      <c r="M121" s="8" t="str">
        <f>"56"</f>
        <v>56</v>
      </c>
      <c r="N121" s="8" t="str">
        <f>""</f>
        <v/>
      </c>
      <c r="O121" s="8" t="str">
        <f>"540,000"</f>
        <v>540,000</v>
      </c>
      <c r="P121" s="8" t="str">
        <f>"420,000"</f>
        <v>420,000</v>
      </c>
      <c r="Q121" s="8" t="str">
        <f>""</f>
        <v/>
      </c>
      <c r="R121" s="3" t="str">
        <f>"2 X GEnx-1B or Rolls-Royce Trent 1000"</f>
        <v>2 X GEnx-1B or Rolls-Royce Trent 1000</v>
      </c>
      <c r="S121" s="3"/>
      <c r="T121" s="3"/>
      <c r="U121" s="1" t="e">
        <f t="shared" si="44"/>
        <v>#VALUE!</v>
      </c>
      <c r="V121" s="8" t="str">
        <f>""</f>
        <v/>
      </c>
      <c r="W121" s="8" t="str">
        <f>"M 0.85"</f>
        <v>M 0.85</v>
      </c>
      <c r="X121" s="8" t="str">
        <f>""</f>
        <v/>
      </c>
      <c r="Y121" s="8" t="str">
        <f>""</f>
        <v/>
      </c>
      <c r="Z121" s="8" t="str">
        <f>"8,050"</f>
        <v>8,050</v>
      </c>
      <c r="AA121" s="3" t="str">
        <f>"Entry into service 2012."</f>
        <v>Entry into service 2012.</v>
      </c>
    </row>
    <row r="122" spans="1:27" ht="19.95" customHeight="1">
      <c r="A122" s="1" t="str">
        <f t="shared" si="74"/>
        <v>Boeing Commercial Airplanes</v>
      </c>
      <c r="B122" s="2" t="str">
        <f t="shared" si="74"/>
        <v>Boeing Commercial Airplanes</v>
      </c>
      <c r="C122" s="1" t="str">
        <f t="shared" si="70"/>
        <v>Renton</v>
      </c>
      <c r="D122" s="1" t="str">
        <f t="shared" si="71"/>
        <v>Washington</v>
      </c>
      <c r="E122" s="1" t="str">
        <f t="shared" si="72"/>
        <v>United States</v>
      </c>
      <c r="F122" s="1" t="str">
        <f>"DC-10 Series 30CF"</f>
        <v>DC-10 Series 30CF</v>
      </c>
      <c r="G122" s="1" t="str">
        <f t="shared" si="66"/>
        <v>Wide-Body Turbofans</v>
      </c>
      <c r="H122" s="7" t="str">
        <f>"3"</f>
        <v>3</v>
      </c>
      <c r="I122" s="7" t="str">
        <f>"0"</f>
        <v>0</v>
      </c>
      <c r="J122" s="7" t="str">
        <f>"165.3"</f>
        <v>165.3</v>
      </c>
      <c r="K122" s="7" t="str">
        <f>"3,648"</f>
        <v>3,648</v>
      </c>
      <c r="L122" s="7" t="str">
        <f>"181.6"</f>
        <v>181.6</v>
      </c>
      <c r="M122" s="7" t="str">
        <f>"58.1"</f>
        <v>58.1</v>
      </c>
      <c r="N122" s="7" t="str">
        <f>"247,790"</f>
        <v>247,790</v>
      </c>
      <c r="O122" s="7" t="str">
        <f>"572,000"</f>
        <v>572,000</v>
      </c>
      <c r="P122" s="7" t="str">
        <f>"421,000"</f>
        <v>421,000</v>
      </c>
      <c r="Q122" s="7" t="str">
        <f>"143,200"</f>
        <v>143,200</v>
      </c>
      <c r="R122" s="1" t="str">
        <f>"3 X GE CF6-50C2"</f>
        <v>3 X GE CF6-50C2</v>
      </c>
      <c r="S122" s="1"/>
      <c r="T122" s="1"/>
      <c r="U122" s="1">
        <f t="shared" si="44"/>
        <v>156.7982456140351</v>
      </c>
      <c r="V122" s="7" t="str">
        <f>"576"</f>
        <v>576</v>
      </c>
      <c r="W122" s="7" t="str">
        <f>"M 0.82"</f>
        <v>M 0.82</v>
      </c>
      <c r="X122" s="7" t="str">
        <f>"10,700"</f>
        <v>10,700</v>
      </c>
      <c r="Y122" s="7" t="str">
        <f>"6,320"</f>
        <v>6,320</v>
      </c>
      <c r="Z122" s="7" t="str">
        <f>"3,390"</f>
        <v>3,390</v>
      </c>
      <c r="AA122" s="1" t="str">
        <f t="shared" ref="AA122:AA136" si="75">"Out of production. All in-service support provided by Boeing Commercial Airplanes."</f>
        <v>Out of production. All in-service support provided by Boeing Commercial Airplanes.</v>
      </c>
    </row>
    <row r="123" spans="1:27" ht="19.95" customHeight="1">
      <c r="A123" s="3" t="str">
        <f t="shared" si="74"/>
        <v>Boeing Commercial Airplanes</v>
      </c>
      <c r="B123" s="4" t="str">
        <f t="shared" si="74"/>
        <v>Boeing Commercial Airplanes</v>
      </c>
      <c r="C123" s="3" t="str">
        <f t="shared" si="70"/>
        <v>Renton</v>
      </c>
      <c r="D123" s="3" t="str">
        <f t="shared" si="71"/>
        <v>Washington</v>
      </c>
      <c r="E123" s="3" t="str">
        <f t="shared" si="72"/>
        <v>United States</v>
      </c>
      <c r="F123" s="3" t="str">
        <f>"DC-10 Series 30F"</f>
        <v>DC-10 Series 30F</v>
      </c>
      <c r="G123" s="3" t="str">
        <f t="shared" si="66"/>
        <v>Wide-Body Turbofans</v>
      </c>
      <c r="H123" s="8" t="str">
        <f>"3"</f>
        <v>3</v>
      </c>
      <c r="I123" s="8" t="str">
        <f>"0"</f>
        <v>0</v>
      </c>
      <c r="J123" s="8" t="str">
        <f>"165.3"</f>
        <v>165.3</v>
      </c>
      <c r="K123" s="8" t="str">
        <f>"3,648"</f>
        <v>3,648</v>
      </c>
      <c r="L123" s="8" t="str">
        <f>"181.6"</f>
        <v>181.6</v>
      </c>
      <c r="M123" s="8" t="str">
        <f>"58.1"</f>
        <v>58.1</v>
      </c>
      <c r="N123" s="8" t="str">
        <f>"242,860"</f>
        <v>242,860</v>
      </c>
      <c r="O123" s="8" t="str">
        <f>"580,000"</f>
        <v>580,000</v>
      </c>
      <c r="P123" s="8" t="str">
        <f>"436,000"</f>
        <v>436,000</v>
      </c>
      <c r="Q123" s="8" t="str">
        <f>"171,130"</f>
        <v>171,130</v>
      </c>
      <c r="R123" s="3" t="str">
        <f>"3 X GE CF6-50C2"</f>
        <v>3 X GE CF6-50C2</v>
      </c>
      <c r="S123" s="3"/>
      <c r="T123" s="3"/>
      <c r="U123" s="1">
        <f t="shared" si="44"/>
        <v>158.99122807017545</v>
      </c>
      <c r="V123" s="8" t="str">
        <f>"576"</f>
        <v>576</v>
      </c>
      <c r="W123" s="8" t="str">
        <f>"M 0.82"</f>
        <v>M 0.82</v>
      </c>
      <c r="X123" s="8" t="str">
        <f>"10,700"</f>
        <v>10,700</v>
      </c>
      <c r="Y123" s="8" t="str">
        <f>"6,320"</f>
        <v>6,320</v>
      </c>
      <c r="Z123" s="8" t="str">
        <f>"3,190"</f>
        <v>3,190</v>
      </c>
      <c r="AA123" s="3" t="str">
        <f t="shared" si="75"/>
        <v>Out of production. All in-service support provided by Boeing Commercial Airplanes.</v>
      </c>
    </row>
    <row r="124" spans="1:27" ht="19.95" customHeight="1">
      <c r="A124" s="1" t="str">
        <f t="shared" si="74"/>
        <v>Boeing Commercial Airplanes</v>
      </c>
      <c r="B124" s="2" t="str">
        <f t="shared" si="74"/>
        <v>Boeing Commercial Airplanes</v>
      </c>
      <c r="C124" s="1" t="str">
        <f t="shared" si="70"/>
        <v>Renton</v>
      </c>
      <c r="D124" s="1" t="str">
        <f t="shared" si="71"/>
        <v>Washington</v>
      </c>
      <c r="E124" s="1" t="str">
        <f t="shared" si="72"/>
        <v>United States</v>
      </c>
      <c r="F124" s="1" t="str">
        <f>"DC-8 Series 63F"</f>
        <v>DC-8 Series 63F</v>
      </c>
      <c r="G124" s="1" t="str">
        <f>"Narrow-Body Turbofans"</f>
        <v>Narrow-Body Turbofans</v>
      </c>
      <c r="H124" s="7" t="str">
        <f>"3-5"</f>
        <v>3-5</v>
      </c>
      <c r="I124" s="7" t="str">
        <f>"0"</f>
        <v>0</v>
      </c>
      <c r="J124" s="7" t="str">
        <f>"148.4"</f>
        <v>148.4</v>
      </c>
      <c r="K124" s="7" t="str">
        <f>"2,927"</f>
        <v>2,927</v>
      </c>
      <c r="L124" s="7" t="str">
        <f>"187.4"</f>
        <v>187.4</v>
      </c>
      <c r="M124" s="7" t="str">
        <f>"42.4"</f>
        <v>42.4</v>
      </c>
      <c r="N124" s="7" t="str">
        <f>"145,000"</f>
        <v>145,000</v>
      </c>
      <c r="O124" s="7" t="str">
        <f>"355,000"</f>
        <v>355,000</v>
      </c>
      <c r="P124" s="7" t="str">
        <f>"275,000"</f>
        <v>275,000</v>
      </c>
      <c r="Q124" s="7" t="str">
        <f>"102,810"</f>
        <v>102,810</v>
      </c>
      <c r="R124" s="1" t="str">
        <f>"4 X Pratt &amp; Whitney JT3D-7"</f>
        <v>4 X Pratt &amp; Whitney JT3D-7</v>
      </c>
      <c r="S124" s="1"/>
      <c r="T124" s="1"/>
      <c r="U124" s="1">
        <f t="shared" si="44"/>
        <v>121.28459173214895</v>
      </c>
      <c r="V124" s="7" t="str">
        <f>"600"</f>
        <v>600</v>
      </c>
      <c r="W124" s="7" t="str">
        <f>"555"</f>
        <v>555</v>
      </c>
      <c r="X124" s="7" t="str">
        <f>"10,450"</f>
        <v>10,450</v>
      </c>
      <c r="Y124" s="7" t="str">
        <f>"6,600"</f>
        <v>6,600</v>
      </c>
      <c r="Z124" s="7" t="str">
        <f>"2,280"</f>
        <v>2,280</v>
      </c>
      <c r="AA124" s="1" t="str">
        <f t="shared" si="75"/>
        <v>Out of production. All in-service support provided by Boeing Commercial Airplanes.</v>
      </c>
    </row>
    <row r="125" spans="1:27" ht="19.95" customHeight="1">
      <c r="A125" s="3" t="str">
        <f t="shared" si="74"/>
        <v>Boeing Commercial Airplanes</v>
      </c>
      <c r="B125" s="4" t="str">
        <f t="shared" si="74"/>
        <v>Boeing Commercial Airplanes</v>
      </c>
      <c r="C125" s="3" t="str">
        <f t="shared" si="70"/>
        <v>Renton</v>
      </c>
      <c r="D125" s="3" t="str">
        <f t="shared" si="71"/>
        <v>Washington</v>
      </c>
      <c r="E125" s="3" t="str">
        <f t="shared" si="72"/>
        <v>United States</v>
      </c>
      <c r="F125" s="3" t="str">
        <f>"MD-11 Combi"</f>
        <v>MD-11 Combi</v>
      </c>
      <c r="G125" s="3" t="str">
        <f>"Wide-Body Turbofans"</f>
        <v>Wide-Body Turbofans</v>
      </c>
      <c r="H125" s="8" t="str">
        <f t="shared" ref="H125:H158" si="76">"2"</f>
        <v>2</v>
      </c>
      <c r="I125" s="8" t="str">
        <f>""</f>
        <v/>
      </c>
      <c r="J125" s="8" t="str">
        <f>"169.8"</f>
        <v>169.8</v>
      </c>
      <c r="K125" s="8" t="str">
        <f>"3,688"</f>
        <v>3,688</v>
      </c>
      <c r="L125" s="8" t="str">
        <f>"202.2"</f>
        <v>202.2</v>
      </c>
      <c r="M125" s="8" t="str">
        <f>"57.9"</f>
        <v>57.9</v>
      </c>
      <c r="N125" s="8" t="str">
        <f>"290,380"</f>
        <v>290,380</v>
      </c>
      <c r="O125" s="8" t="str">
        <f>"630,500"</f>
        <v>630,500</v>
      </c>
      <c r="P125" s="8" t="str">
        <f>"458,000"</f>
        <v>458,000</v>
      </c>
      <c r="Q125" s="8" t="str">
        <f>"77,030"</f>
        <v>77,030</v>
      </c>
      <c r="R125" s="3" t="str">
        <f>"3 X PW4460 or PW4462 or GE CF6-80C2-DF1"</f>
        <v>3 X PW4460 or PW4462 or GE CF6-80C2-DF1</v>
      </c>
      <c r="S125" s="3"/>
      <c r="T125" s="3"/>
      <c r="U125" s="1">
        <f t="shared" si="44"/>
        <v>170.95986984815619</v>
      </c>
      <c r="V125" s="8" t="str">
        <f>"596"</f>
        <v>596</v>
      </c>
      <c r="W125" s="8" t="str">
        <f>"M 0.83"</f>
        <v>M 0.83</v>
      </c>
      <c r="X125" s="8" t="str">
        <f>"10,000"</f>
        <v>10,000</v>
      </c>
      <c r="Y125" s="8" t="str">
        <f>"7,300"</f>
        <v>7,300</v>
      </c>
      <c r="Z125" s="8" t="str">
        <f>"6,590"</f>
        <v>6,590</v>
      </c>
      <c r="AA125" s="3" t="str">
        <f t="shared" si="75"/>
        <v>Out of production. All in-service support provided by Boeing Commercial Airplanes.</v>
      </c>
    </row>
    <row r="126" spans="1:27" ht="19.95" customHeight="1">
      <c r="A126" s="1" t="str">
        <f t="shared" si="74"/>
        <v>Boeing Commercial Airplanes</v>
      </c>
      <c r="B126" s="2" t="str">
        <f t="shared" si="74"/>
        <v>Boeing Commercial Airplanes</v>
      </c>
      <c r="C126" s="1" t="str">
        <f t="shared" si="70"/>
        <v>Renton</v>
      </c>
      <c r="D126" s="1" t="str">
        <f t="shared" si="71"/>
        <v>Washington</v>
      </c>
      <c r="E126" s="1" t="str">
        <f t="shared" si="72"/>
        <v>United States</v>
      </c>
      <c r="F126" s="1" t="str">
        <f>"MD-11 Convertible Freighter"</f>
        <v>MD-11 Convertible Freighter</v>
      </c>
      <c r="G126" s="1" t="str">
        <f>"Wide-Body Turbofans"</f>
        <v>Wide-Body Turbofans</v>
      </c>
      <c r="H126" s="7" t="str">
        <f t="shared" si="76"/>
        <v>2</v>
      </c>
      <c r="I126" s="7" t="str">
        <f>""</f>
        <v/>
      </c>
      <c r="J126" s="7" t="str">
        <f>"169.8"</f>
        <v>169.8</v>
      </c>
      <c r="K126" s="7" t="str">
        <f>"3,688"</f>
        <v>3,688</v>
      </c>
      <c r="L126" s="7" t="str">
        <f>"202.2"</f>
        <v>202.2</v>
      </c>
      <c r="M126" s="7" t="str">
        <f>"57.9"</f>
        <v>57.9</v>
      </c>
      <c r="N126" s="7" t="str">
        <f>"288,290"</f>
        <v>288,290</v>
      </c>
      <c r="O126" s="7" t="str">
        <f>"630,500"</f>
        <v>630,500</v>
      </c>
      <c r="P126" s="7" t="str">
        <f>"471,500"</f>
        <v>471,500</v>
      </c>
      <c r="Q126" s="7" t="str">
        <f>"100,420"</f>
        <v>100,420</v>
      </c>
      <c r="R126" s="1" t="str">
        <f>"3 X PW4460 or PW4462 or GE CF6-80C2-DF1"</f>
        <v>3 X PW4460 or PW4462 or GE CF6-80C2-DF1</v>
      </c>
      <c r="S126" s="1"/>
      <c r="T126" s="1"/>
      <c r="U126" s="1">
        <f t="shared" si="44"/>
        <v>170.95986984815619</v>
      </c>
      <c r="V126" s="7" t="str">
        <f>"596"</f>
        <v>596</v>
      </c>
      <c r="W126" s="7" t="str">
        <f>"M 0.83"</f>
        <v>M 0.83</v>
      </c>
      <c r="X126" s="7" t="str">
        <f>"10,000"</f>
        <v>10,000</v>
      </c>
      <c r="Y126" s="7" t="str">
        <f>"7,600"</f>
        <v>7,600</v>
      </c>
      <c r="Z126" s="7" t="str">
        <f>"6,620"</f>
        <v>6,620</v>
      </c>
      <c r="AA126" s="1" t="str">
        <f t="shared" si="75"/>
        <v>Out of production. All in-service support provided by Boeing Commercial Airplanes.</v>
      </c>
    </row>
    <row r="127" spans="1:27" ht="19.95" customHeight="1">
      <c r="A127" s="3" t="str">
        <f t="shared" si="74"/>
        <v>Boeing Commercial Airplanes</v>
      </c>
      <c r="B127" s="4" t="str">
        <f t="shared" si="74"/>
        <v>Boeing Commercial Airplanes</v>
      </c>
      <c r="C127" s="3" t="str">
        <f t="shared" si="70"/>
        <v>Renton</v>
      </c>
      <c r="D127" s="3" t="str">
        <f t="shared" si="71"/>
        <v>Washington</v>
      </c>
      <c r="E127" s="3" t="str">
        <f t="shared" si="72"/>
        <v>United States</v>
      </c>
      <c r="F127" s="3" t="str">
        <f>"MD-11 Freighter"</f>
        <v>MD-11 Freighter</v>
      </c>
      <c r="G127" s="3" t="str">
        <f>"Wide-Body Turbofans"</f>
        <v>Wide-Body Turbofans</v>
      </c>
      <c r="H127" s="8" t="str">
        <f t="shared" si="76"/>
        <v>2</v>
      </c>
      <c r="I127" s="8" t="str">
        <f>"0"</f>
        <v>0</v>
      </c>
      <c r="J127" s="8" t="str">
        <f>"169.8"</f>
        <v>169.8</v>
      </c>
      <c r="K127" s="8" t="str">
        <f>"3,688"</f>
        <v>3,688</v>
      </c>
      <c r="L127" s="8" t="str">
        <f>"202.2"</f>
        <v>202.2</v>
      </c>
      <c r="M127" s="8" t="str">
        <f>"57.9"</f>
        <v>57.9</v>
      </c>
      <c r="N127" s="8" t="str">
        <f>"259,260"</f>
        <v>259,260</v>
      </c>
      <c r="O127" s="8" t="str">
        <f>"630,500"</f>
        <v>630,500</v>
      </c>
      <c r="P127" s="8" t="str">
        <f>"481,500"</f>
        <v>481,500</v>
      </c>
      <c r="Q127" s="8" t="str">
        <f>"192,030"</f>
        <v>192,030</v>
      </c>
      <c r="R127" s="3" t="str">
        <f>"3 X PW4460 or PW4462 or GE CF6-80C2-DF1"</f>
        <v>3 X PW4460 or PW4462 or GE CF6-80C2-DF1</v>
      </c>
      <c r="S127" s="3"/>
      <c r="T127" s="3"/>
      <c r="U127" s="1">
        <f t="shared" si="44"/>
        <v>170.95986984815619</v>
      </c>
      <c r="V127" s="8" t="str">
        <f>"596"</f>
        <v>596</v>
      </c>
      <c r="W127" s="8" t="str">
        <f>"M 0.83"</f>
        <v>M 0.83</v>
      </c>
      <c r="X127" s="8" t="str">
        <f>"10,000"</f>
        <v>10,000</v>
      </c>
      <c r="Y127" s="8" t="str">
        <f>"7,600"</f>
        <v>7,600</v>
      </c>
      <c r="Z127" s="8" t="str">
        <f>"3,820"</f>
        <v>3,820</v>
      </c>
      <c r="AA127" s="3" t="str">
        <f t="shared" si="75"/>
        <v>Out of production. All in-service support provided by Boeing Commercial Airplanes.</v>
      </c>
    </row>
    <row r="128" spans="1:27" ht="19.95" customHeight="1">
      <c r="A128" s="1" t="str">
        <f t="shared" si="74"/>
        <v>Boeing Commercial Airplanes</v>
      </c>
      <c r="B128" s="2" t="str">
        <f t="shared" si="74"/>
        <v>Boeing Commercial Airplanes</v>
      </c>
      <c r="C128" s="1" t="str">
        <f t="shared" si="70"/>
        <v>Renton</v>
      </c>
      <c r="D128" s="1" t="str">
        <f t="shared" si="71"/>
        <v>Washington</v>
      </c>
      <c r="E128" s="1" t="str">
        <f t="shared" si="72"/>
        <v>United States</v>
      </c>
      <c r="F128" s="1" t="str">
        <f>"MD-11 Passenger"</f>
        <v>MD-11 Passenger</v>
      </c>
      <c r="G128" s="1" t="str">
        <f>"Wide-Body Turbofans"</f>
        <v>Wide-Body Turbofans</v>
      </c>
      <c r="H128" s="7" t="str">
        <f t="shared" si="76"/>
        <v>2</v>
      </c>
      <c r="I128" s="7" t="str">
        <f>"298"</f>
        <v>298</v>
      </c>
      <c r="J128" s="7" t="str">
        <f>"169.8"</f>
        <v>169.8</v>
      </c>
      <c r="K128" s="7" t="str">
        <f>"3,688"</f>
        <v>3,688</v>
      </c>
      <c r="L128" s="7" t="str">
        <f>"202.2"</f>
        <v>202.2</v>
      </c>
      <c r="M128" s="7" t="str">
        <f>"57.9"</f>
        <v>57.9</v>
      </c>
      <c r="N128" s="7" t="str">
        <f>"287,650"</f>
        <v>287,650</v>
      </c>
      <c r="O128" s="7" t="str">
        <f>"630,500"</f>
        <v>630,500</v>
      </c>
      <c r="P128" s="7" t="str">
        <f>"440,000"</f>
        <v>440,000</v>
      </c>
      <c r="Q128" s="7" t="str">
        <f>"59,760"</f>
        <v>59,760</v>
      </c>
      <c r="R128" s="1" t="str">
        <f>"3 X PW4460 or PW4462 or GE CF6-80C2-DF1"</f>
        <v>3 X PW4460 or PW4462 or GE CF6-80C2-DF1</v>
      </c>
      <c r="S128" s="1"/>
      <c r="T128" s="1"/>
      <c r="U128" s="1">
        <f t="shared" si="44"/>
        <v>170.95986984815619</v>
      </c>
      <c r="V128" s="7" t="str">
        <f>"596"</f>
        <v>596</v>
      </c>
      <c r="W128" s="7" t="str">
        <f>"M 0.83"</f>
        <v>M 0.83</v>
      </c>
      <c r="X128" s="7" t="str">
        <f>"10,000"</f>
        <v>10,000</v>
      </c>
      <c r="Y128" s="7" t="str">
        <f>"7,100"</f>
        <v>7,100</v>
      </c>
      <c r="Z128" s="7" t="str">
        <f>"7,070"</f>
        <v>7,070</v>
      </c>
      <c r="AA128" s="1" t="str">
        <f t="shared" si="75"/>
        <v>Out of production. All in-service support provided by Boeing Commercial Airplanes.</v>
      </c>
    </row>
    <row r="129" spans="1:27" ht="19.95" customHeight="1">
      <c r="A129" s="3" t="str">
        <f t="shared" si="74"/>
        <v>Boeing Commercial Airplanes</v>
      </c>
      <c r="B129" s="4" t="str">
        <f t="shared" si="74"/>
        <v>Boeing Commercial Airplanes</v>
      </c>
      <c r="C129" s="3" t="str">
        <f t="shared" si="70"/>
        <v>Renton</v>
      </c>
      <c r="D129" s="3" t="str">
        <f t="shared" si="71"/>
        <v>Washington</v>
      </c>
      <c r="E129" s="3" t="str">
        <f t="shared" si="72"/>
        <v>United States</v>
      </c>
      <c r="F129" s="3" t="str">
        <f>"MD-81"</f>
        <v>MD-81</v>
      </c>
      <c r="G129" s="3" t="str">
        <f t="shared" ref="G129:G136" si="77">"Narrow-Body Turbofans"</f>
        <v>Narrow-Body Turbofans</v>
      </c>
      <c r="H129" s="8" t="str">
        <f t="shared" si="76"/>
        <v>2</v>
      </c>
      <c r="I129" s="8" t="str">
        <f>"143"</f>
        <v>143</v>
      </c>
      <c r="J129" s="8" t="str">
        <f t="shared" ref="J129:J136" si="78">"107.8"</f>
        <v>107.8</v>
      </c>
      <c r="K129" s="8" t="str">
        <f t="shared" ref="K129:K134" si="79">"1,209"</f>
        <v>1,209</v>
      </c>
      <c r="L129" s="8" t="str">
        <f>"147.9"</f>
        <v>147.9</v>
      </c>
      <c r="M129" s="8" t="str">
        <f>"29.6"</f>
        <v>29.6</v>
      </c>
      <c r="N129" s="8" t="str">
        <f>"80,960"</f>
        <v>80,960</v>
      </c>
      <c r="O129" s="8" t="str">
        <f>"140,000"</f>
        <v>140,000</v>
      </c>
      <c r="P129" s="8" t="str">
        <f>"128,000"</f>
        <v>128,000</v>
      </c>
      <c r="Q129" s="8" t="str">
        <f>"8,430"</f>
        <v>8,430</v>
      </c>
      <c r="R129" s="3" t="str">
        <f>"2 X Pratt &amp; Whitney JT8D-209 or -217A"</f>
        <v>2 X Pratt &amp; Whitney JT8D-209 or -217A</v>
      </c>
      <c r="S129" s="3"/>
      <c r="T129" s="3"/>
      <c r="U129" s="1">
        <f t="shared" si="44"/>
        <v>115.79818031430935</v>
      </c>
      <c r="V129" s="8" t="str">
        <f t="shared" ref="V129:V136" si="80">"576"</f>
        <v>576</v>
      </c>
      <c r="W129" s="8" t="str">
        <f t="shared" ref="W129:W136" si="81">"M 0.76-80"</f>
        <v>M 0.76-80</v>
      </c>
      <c r="X129" s="8" t="str">
        <f>"6,150"</f>
        <v>6,150</v>
      </c>
      <c r="Y129" s="8" t="str">
        <f>"5,080"</f>
        <v>5,080</v>
      </c>
      <c r="Z129" s="8" t="str">
        <f>"1,540"</f>
        <v>1,540</v>
      </c>
      <c r="AA129" s="3" t="str">
        <f t="shared" si="75"/>
        <v>Out of production. All in-service support provided by Boeing Commercial Airplanes.</v>
      </c>
    </row>
    <row r="130" spans="1:27" ht="19.95" customHeight="1">
      <c r="A130" s="1" t="str">
        <f t="shared" si="74"/>
        <v>Boeing Commercial Airplanes</v>
      </c>
      <c r="B130" s="2" t="str">
        <f t="shared" si="74"/>
        <v>Boeing Commercial Airplanes</v>
      </c>
      <c r="C130" s="1" t="str">
        <f t="shared" si="70"/>
        <v>Renton</v>
      </c>
      <c r="D130" s="1" t="str">
        <f t="shared" si="71"/>
        <v>Washington</v>
      </c>
      <c r="E130" s="1" t="str">
        <f t="shared" si="72"/>
        <v>United States</v>
      </c>
      <c r="F130" s="1" t="str">
        <f>"MD-82"</f>
        <v>MD-82</v>
      </c>
      <c r="G130" s="1" t="str">
        <f t="shared" si="77"/>
        <v>Narrow-Body Turbofans</v>
      </c>
      <c r="H130" s="7" t="str">
        <f t="shared" si="76"/>
        <v>2</v>
      </c>
      <c r="I130" s="7" t="str">
        <f>"143"</f>
        <v>143</v>
      </c>
      <c r="J130" s="7" t="str">
        <f t="shared" si="78"/>
        <v>107.8</v>
      </c>
      <c r="K130" s="7" t="str">
        <f t="shared" si="79"/>
        <v>1,209</v>
      </c>
      <c r="L130" s="7" t="str">
        <f>"147.9"</f>
        <v>147.9</v>
      </c>
      <c r="M130" s="7" t="str">
        <f>"29.6"</f>
        <v>29.6</v>
      </c>
      <c r="N130" s="7" t="str">
        <f>"80,960"</f>
        <v>80,960</v>
      </c>
      <c r="O130" s="7" t="str">
        <f>"149,500"</f>
        <v>149,500</v>
      </c>
      <c r="P130" s="7" t="str">
        <f>"130,000"</f>
        <v>130,000</v>
      </c>
      <c r="Q130" s="7" t="str">
        <f>"12,430"</f>
        <v>12,430</v>
      </c>
      <c r="R130" s="1" t="str">
        <f>"2 X Pratt &amp; Whitney JT8D-217C"</f>
        <v>2 X Pratt &amp; Whitney JT8D-217C</v>
      </c>
      <c r="S130" s="1"/>
      <c r="T130" s="1"/>
      <c r="U130" s="1">
        <f t="shared" si="44"/>
        <v>123.65591397849462</v>
      </c>
      <c r="V130" s="7" t="str">
        <f t="shared" si="80"/>
        <v>576</v>
      </c>
      <c r="W130" s="7" t="str">
        <f t="shared" si="81"/>
        <v>M 0.76-80</v>
      </c>
      <c r="X130" s="7" t="str">
        <f>"7,550"</f>
        <v>7,550</v>
      </c>
      <c r="Y130" s="7" t="str">
        <f>"5,300"</f>
        <v>5,300</v>
      </c>
      <c r="Z130" s="7" t="str">
        <f>"2,080"</f>
        <v>2,080</v>
      </c>
      <c r="AA130" s="1" t="str">
        <f t="shared" si="75"/>
        <v>Out of production. All in-service support provided by Boeing Commercial Airplanes.</v>
      </c>
    </row>
    <row r="131" spans="1:27" ht="19.95" customHeight="1">
      <c r="A131" s="3" t="str">
        <f t="shared" si="74"/>
        <v>Boeing Commercial Airplanes</v>
      </c>
      <c r="B131" s="4" t="str">
        <f t="shared" si="74"/>
        <v>Boeing Commercial Airplanes</v>
      </c>
      <c r="C131" s="3" t="str">
        <f t="shared" si="70"/>
        <v>Renton</v>
      </c>
      <c r="D131" s="3" t="str">
        <f t="shared" si="71"/>
        <v>Washington</v>
      </c>
      <c r="E131" s="3" t="str">
        <f t="shared" si="72"/>
        <v>United States</v>
      </c>
      <c r="F131" s="3" t="str">
        <f>"MD-83"</f>
        <v>MD-83</v>
      </c>
      <c r="G131" s="3" t="str">
        <f t="shared" si="77"/>
        <v>Narrow-Body Turbofans</v>
      </c>
      <c r="H131" s="8" t="str">
        <f t="shared" si="76"/>
        <v>2</v>
      </c>
      <c r="I131" s="8" t="str">
        <f>"143"</f>
        <v>143</v>
      </c>
      <c r="J131" s="8" t="str">
        <f t="shared" si="78"/>
        <v>107.8</v>
      </c>
      <c r="K131" s="8" t="str">
        <f t="shared" si="79"/>
        <v>1,209</v>
      </c>
      <c r="L131" s="8" t="str">
        <f>"147.9"</f>
        <v>147.9</v>
      </c>
      <c r="M131" s="8" t="str">
        <f>"29.6"</f>
        <v>29.6</v>
      </c>
      <c r="N131" s="8" t="str">
        <f>"82,800"</f>
        <v>82,800</v>
      </c>
      <c r="O131" s="8" t="str">
        <f>"163,000"</f>
        <v>163,000</v>
      </c>
      <c r="P131" s="8" t="str">
        <f>"139,500"</f>
        <v>139,500</v>
      </c>
      <c r="Q131" s="8" t="str">
        <f>"10,600"</f>
        <v>10,600</v>
      </c>
      <c r="R131" s="3" t="str">
        <f>"2 X Pratt &amp; Whitney JT8D-219"</f>
        <v>2 X Pratt &amp; Whitney JT8D-219</v>
      </c>
      <c r="S131" s="3"/>
      <c r="T131" s="3"/>
      <c r="U131" s="1">
        <f t="shared" si="44"/>
        <v>134.82216708023159</v>
      </c>
      <c r="V131" s="8" t="str">
        <f t="shared" si="80"/>
        <v>576</v>
      </c>
      <c r="W131" s="8" t="str">
        <f t="shared" si="81"/>
        <v>M 0.76-80</v>
      </c>
      <c r="X131" s="8" t="str">
        <f>"8,100"</f>
        <v>8,100</v>
      </c>
      <c r="Y131" s="8" t="str">
        <f>"5,800"</f>
        <v>5,800</v>
      </c>
      <c r="Z131" s="8" t="str">
        <f>"2,520"</f>
        <v>2,520</v>
      </c>
      <c r="AA131" s="3" t="str">
        <f t="shared" si="75"/>
        <v>Out of production. All in-service support provided by Boeing Commercial Airplanes.</v>
      </c>
    </row>
    <row r="132" spans="1:27" ht="19.95" customHeight="1">
      <c r="A132" s="1" t="str">
        <f t="shared" si="74"/>
        <v>Boeing Commercial Airplanes</v>
      </c>
      <c r="B132" s="2" t="str">
        <f t="shared" si="74"/>
        <v>Boeing Commercial Airplanes</v>
      </c>
      <c r="C132" s="1" t="str">
        <f t="shared" si="70"/>
        <v>Renton</v>
      </c>
      <c r="D132" s="1" t="str">
        <f t="shared" si="71"/>
        <v>Washington</v>
      </c>
      <c r="E132" s="1" t="str">
        <f t="shared" si="72"/>
        <v>United States</v>
      </c>
      <c r="F132" s="1" t="str">
        <f>"MD-87"</f>
        <v>MD-87</v>
      </c>
      <c r="G132" s="1" t="str">
        <f t="shared" si="77"/>
        <v>Narrow-Body Turbofans</v>
      </c>
      <c r="H132" s="7" t="str">
        <f t="shared" si="76"/>
        <v>2</v>
      </c>
      <c r="I132" s="7" t="str">
        <f>"117"</f>
        <v>117</v>
      </c>
      <c r="J132" s="7" t="str">
        <f t="shared" si="78"/>
        <v>107.8</v>
      </c>
      <c r="K132" s="7" t="str">
        <f t="shared" si="79"/>
        <v>1,209</v>
      </c>
      <c r="L132" s="7" t="str">
        <f>"130.4"</f>
        <v>130.4</v>
      </c>
      <c r="M132" s="7" t="str">
        <f>"30.5"</f>
        <v>30.5</v>
      </c>
      <c r="N132" s="7" t="str">
        <f>"76,660"</f>
        <v>76,660</v>
      </c>
      <c r="O132" s="7" t="str">
        <f>"149,500"</f>
        <v>149,500</v>
      </c>
      <c r="P132" s="7" t="str">
        <f>"130,000"</f>
        <v>130,000</v>
      </c>
      <c r="Q132" s="7" t="str">
        <f>"11,930"</f>
        <v>11,930</v>
      </c>
      <c r="R132" s="1" t="str">
        <f>"2 X Pratt &amp; Whitney JT8D-217C"</f>
        <v>2 X Pratt &amp; Whitney JT8D-217C</v>
      </c>
      <c r="S132" s="1"/>
      <c r="T132" s="1"/>
      <c r="U132" s="1">
        <f t="shared" si="44"/>
        <v>123.65591397849462</v>
      </c>
      <c r="V132" s="7" t="str">
        <f t="shared" si="80"/>
        <v>576</v>
      </c>
      <c r="W132" s="7" t="str">
        <f t="shared" si="81"/>
        <v>M 0.76-80</v>
      </c>
      <c r="X132" s="7" t="str">
        <f>"6,100"</f>
        <v>6,100</v>
      </c>
      <c r="Y132" s="7" t="str">
        <f>"5,080"</f>
        <v>5,080</v>
      </c>
      <c r="Z132" s="7" t="str">
        <f>"2,850"</f>
        <v>2,850</v>
      </c>
      <c r="AA132" s="1" t="str">
        <f t="shared" si="75"/>
        <v>Out of production. All in-service support provided by Boeing Commercial Airplanes.</v>
      </c>
    </row>
    <row r="133" spans="1:27" ht="19.95" customHeight="1">
      <c r="A133" s="3" t="str">
        <f t="shared" si="74"/>
        <v>Boeing Commercial Airplanes</v>
      </c>
      <c r="B133" s="4" t="str">
        <f t="shared" si="74"/>
        <v>Boeing Commercial Airplanes</v>
      </c>
      <c r="C133" s="3" t="str">
        <f t="shared" si="70"/>
        <v>Renton</v>
      </c>
      <c r="D133" s="3" t="str">
        <f t="shared" si="71"/>
        <v>Washington</v>
      </c>
      <c r="E133" s="3" t="str">
        <f t="shared" si="72"/>
        <v>United States</v>
      </c>
      <c r="F133" s="3" t="str">
        <f>"MD-88"</f>
        <v>MD-88</v>
      </c>
      <c r="G133" s="3" t="str">
        <f t="shared" si="77"/>
        <v>Narrow-Body Turbofans</v>
      </c>
      <c r="H133" s="8" t="str">
        <f t="shared" si="76"/>
        <v>2</v>
      </c>
      <c r="I133" s="8" t="str">
        <f>"143"</f>
        <v>143</v>
      </c>
      <c r="J133" s="8" t="str">
        <f t="shared" si="78"/>
        <v>107.8</v>
      </c>
      <c r="K133" s="8" t="str">
        <f t="shared" si="79"/>
        <v>1,209</v>
      </c>
      <c r="L133" s="8" t="str">
        <f>"147.9"</f>
        <v>147.9</v>
      </c>
      <c r="M133" s="8" t="str">
        <f>"29.6"</f>
        <v>29.6</v>
      </c>
      <c r="N133" s="8" t="str">
        <f>"83,170"</f>
        <v>83,170</v>
      </c>
      <c r="O133" s="8" t="str">
        <f>"160,000"</f>
        <v>160,000</v>
      </c>
      <c r="P133" s="8" t="str">
        <f>"139,000"</f>
        <v>139,000</v>
      </c>
      <c r="Q133" s="8" t="str">
        <f>"10,220"</f>
        <v>10,220</v>
      </c>
      <c r="R133" s="3" t="str">
        <f>"2 X Pratt &amp; Whitney JT8D-217C"</f>
        <v>2 X Pratt &amp; Whitney JT8D-217C</v>
      </c>
      <c r="S133" s="3"/>
      <c r="T133" s="3"/>
      <c r="U133" s="1">
        <f t="shared" si="44"/>
        <v>132.34077750206782</v>
      </c>
      <c r="V133" s="8" t="str">
        <f t="shared" si="80"/>
        <v>576</v>
      </c>
      <c r="W133" s="8" t="str">
        <f t="shared" si="81"/>
        <v>M 0.76-80</v>
      </c>
      <c r="X133" s="8" t="str">
        <f>"6,650"</f>
        <v>6,650</v>
      </c>
      <c r="Y133" s="8" t="str">
        <f>"5,400"</f>
        <v>5,400</v>
      </c>
      <c r="Z133" s="8" t="str">
        <f>"2,510"</f>
        <v>2,510</v>
      </c>
      <c r="AA133" s="3" t="str">
        <f t="shared" si="75"/>
        <v>Out of production. All in-service support provided by Boeing Commercial Airplanes.</v>
      </c>
    </row>
    <row r="134" spans="1:27" ht="19.95" customHeight="1">
      <c r="A134" s="1" t="str">
        <f t="shared" si="74"/>
        <v>Boeing Commercial Airplanes</v>
      </c>
      <c r="B134" s="2" t="str">
        <f t="shared" si="74"/>
        <v>Boeing Commercial Airplanes</v>
      </c>
      <c r="C134" s="1" t="str">
        <f t="shared" si="70"/>
        <v>Renton</v>
      </c>
      <c r="D134" s="1" t="str">
        <f t="shared" si="71"/>
        <v>Washington</v>
      </c>
      <c r="E134" s="1" t="str">
        <f t="shared" si="72"/>
        <v>United States</v>
      </c>
      <c r="F134" s="1" t="str">
        <f>"MD-90-30"</f>
        <v>MD-90-30</v>
      </c>
      <c r="G134" s="1" t="str">
        <f t="shared" si="77"/>
        <v>Narrow-Body Turbofans</v>
      </c>
      <c r="H134" s="7" t="str">
        <f t="shared" si="76"/>
        <v>2</v>
      </c>
      <c r="I134" s="7" t="str">
        <f>"153"</f>
        <v>153</v>
      </c>
      <c r="J134" s="7" t="str">
        <f t="shared" si="78"/>
        <v>107.8</v>
      </c>
      <c r="K134" s="7" t="str">
        <f t="shared" si="79"/>
        <v>1,209</v>
      </c>
      <c r="L134" s="7" t="str">
        <f>"130.4"</f>
        <v>130.4</v>
      </c>
      <c r="M134" s="7" t="str">
        <f>"30.8"</f>
        <v>30.8</v>
      </c>
      <c r="N134" s="7" t="str">
        <f>"88,170"</f>
        <v>88,170</v>
      </c>
      <c r="O134" s="7" t="str">
        <f>"156,000"</f>
        <v>156,000</v>
      </c>
      <c r="P134" s="7" t="str">
        <f>"142,000"</f>
        <v>142,000</v>
      </c>
      <c r="Q134" s="7" t="str">
        <f>"11,220"</f>
        <v>11,220</v>
      </c>
      <c r="R134" s="1" t="str">
        <f>"2 X IAE V2500-D5"</f>
        <v>2 X IAE V2500-D5</v>
      </c>
      <c r="S134" s="1"/>
      <c r="T134" s="1"/>
      <c r="U134" s="1">
        <f t="shared" si="44"/>
        <v>129.03225806451613</v>
      </c>
      <c r="V134" s="7" t="str">
        <f t="shared" si="80"/>
        <v>576</v>
      </c>
      <c r="W134" s="7" t="str">
        <f t="shared" si="81"/>
        <v>M 0.76-80</v>
      </c>
      <c r="X134" s="7" t="str">
        <f>"6,500"</f>
        <v>6,500</v>
      </c>
      <c r="Y134" s="7" t="str">
        <f>"4,565"</f>
        <v>4,565</v>
      </c>
      <c r="Z134" s="7" t="str">
        <f>"2,175"</f>
        <v>2,175</v>
      </c>
      <c r="AA134" s="1" t="str">
        <f t="shared" si="75"/>
        <v>Out of production. All in-service support provided by Boeing Commercial Airplanes.</v>
      </c>
    </row>
    <row r="135" spans="1:27" ht="19.95" customHeight="1">
      <c r="A135" s="3" t="str">
        <f t="shared" si="74"/>
        <v>Boeing Commercial Airplanes</v>
      </c>
      <c r="B135" s="4" t="str">
        <f t="shared" si="74"/>
        <v>Boeing Commercial Airplanes</v>
      </c>
      <c r="C135" s="3" t="str">
        <f t="shared" si="70"/>
        <v>Renton</v>
      </c>
      <c r="D135" s="3" t="str">
        <f t="shared" si="71"/>
        <v>Washington</v>
      </c>
      <c r="E135" s="3" t="str">
        <f t="shared" si="72"/>
        <v>United States</v>
      </c>
      <c r="F135" s="3" t="str">
        <f>"MD-90-30ER"</f>
        <v>MD-90-30ER</v>
      </c>
      <c r="G135" s="3" t="str">
        <f t="shared" si="77"/>
        <v>Narrow-Body Turbofans</v>
      </c>
      <c r="H135" s="8" t="str">
        <f t="shared" si="76"/>
        <v>2</v>
      </c>
      <c r="I135" s="8" t="str">
        <f>"153"</f>
        <v>153</v>
      </c>
      <c r="J135" s="8" t="str">
        <f t="shared" si="78"/>
        <v>107.8</v>
      </c>
      <c r="K135" s="8" t="str">
        <f>"1,001"</f>
        <v>1,001</v>
      </c>
      <c r="L135" s="8" t="str">
        <f>"124"</f>
        <v>124</v>
      </c>
      <c r="M135" s="8" t="str">
        <f>"29.3"</f>
        <v>29.3</v>
      </c>
      <c r="N135" s="8" t="str">
        <f>"89,960"</f>
        <v>89,960</v>
      </c>
      <c r="O135" s="8" t="str">
        <f>"166,000"</f>
        <v>166,000</v>
      </c>
      <c r="P135" s="8" t="str">
        <f>"142,000"</f>
        <v>142,000</v>
      </c>
      <c r="Q135" s="8" t="str">
        <f>"11,440"</f>
        <v>11,440</v>
      </c>
      <c r="R135" s="3" t="str">
        <f>"2 X IAE V2500-D5"</f>
        <v>2 X IAE V2500-D5</v>
      </c>
      <c r="S135" s="3"/>
      <c r="T135" s="3"/>
      <c r="U135" s="1">
        <f t="shared" si="44"/>
        <v>165.83416583416584</v>
      </c>
      <c r="V135" s="8" t="str">
        <f t="shared" si="80"/>
        <v>576</v>
      </c>
      <c r="W135" s="8" t="str">
        <f t="shared" si="81"/>
        <v>M 0.76-80</v>
      </c>
      <c r="X135" s="8" t="str">
        <f>"6,400"</f>
        <v>6,400</v>
      </c>
      <c r="Y135" s="8" t="str">
        <f>"1,445"</f>
        <v>1,445</v>
      </c>
      <c r="Z135" s="8" t="str">
        <f>"2,680"</f>
        <v>2,680</v>
      </c>
      <c r="AA135" s="3" t="str">
        <f t="shared" si="75"/>
        <v>Out of production. All in-service support provided by Boeing Commercial Airplanes.</v>
      </c>
    </row>
    <row r="136" spans="1:27" ht="19.95" customHeight="1">
      <c r="A136" s="1" t="str">
        <f t="shared" si="74"/>
        <v>Boeing Commercial Airplanes</v>
      </c>
      <c r="B136" s="2" t="str">
        <f t="shared" si="74"/>
        <v>Boeing Commercial Airplanes</v>
      </c>
      <c r="C136" s="1" t="str">
        <f t="shared" si="70"/>
        <v>Renton</v>
      </c>
      <c r="D136" s="1" t="str">
        <f t="shared" si="71"/>
        <v>Washington</v>
      </c>
      <c r="E136" s="1" t="str">
        <f t="shared" si="72"/>
        <v>United States</v>
      </c>
      <c r="F136" s="1" t="str">
        <f>"MD-90-50"</f>
        <v>MD-90-50</v>
      </c>
      <c r="G136" s="1" t="str">
        <f t="shared" si="77"/>
        <v>Narrow-Body Turbofans</v>
      </c>
      <c r="H136" s="7" t="str">
        <f t="shared" si="76"/>
        <v>2</v>
      </c>
      <c r="I136" s="7" t="str">
        <f>"153"</f>
        <v>153</v>
      </c>
      <c r="J136" s="7" t="str">
        <f t="shared" si="78"/>
        <v>107.8</v>
      </c>
      <c r="K136" s="7" t="str">
        <f>"1,209"</f>
        <v>1,209</v>
      </c>
      <c r="L136" s="7" t="str">
        <f>"171.7"</f>
        <v>171.7</v>
      </c>
      <c r="M136" s="7" t="str">
        <f>"30.9"</f>
        <v>30.9</v>
      </c>
      <c r="N136" s="7" t="str">
        <f>"92,020"</f>
        <v>92,020</v>
      </c>
      <c r="O136" s="7" t="str">
        <f>"172,500"</f>
        <v>172,500</v>
      </c>
      <c r="P136" s="7" t="str">
        <f>"150,000"</f>
        <v>150,000</v>
      </c>
      <c r="Q136" s="7" t="str">
        <f>"12,370"</f>
        <v>12,370</v>
      </c>
      <c r="R136" s="1" t="str">
        <f>"2 X IAE V2500-D5"</f>
        <v>2 X IAE V2500-D5</v>
      </c>
      <c r="S136" s="1"/>
      <c r="T136" s="1"/>
      <c r="U136" s="1">
        <f t="shared" si="44"/>
        <v>142.67990074441687</v>
      </c>
      <c r="V136" s="7" t="str">
        <f t="shared" si="80"/>
        <v>576</v>
      </c>
      <c r="W136" s="7" t="str">
        <f t="shared" si="81"/>
        <v>M 0.76-80</v>
      </c>
      <c r="X136" s="7" t="str">
        <f>"7,200"</f>
        <v>7,200</v>
      </c>
      <c r="Y136" s="7" t="str">
        <f>"5,545"</f>
        <v>5,545</v>
      </c>
      <c r="Z136" s="7" t="str">
        <f>"2,925"</f>
        <v>2,925</v>
      </c>
      <c r="AA136" s="1" t="str">
        <f t="shared" si="75"/>
        <v>Out of production. All in-service support provided by Boeing Commercial Airplanes.</v>
      </c>
    </row>
    <row r="137" spans="1:27" ht="19.95" customHeight="1">
      <c r="A137" s="3" t="str">
        <f t="shared" ref="A137:B158" si="82">"Bombardier Aerospace"</f>
        <v>Bombardier Aerospace</v>
      </c>
      <c r="B137" s="4" t="str">
        <f t="shared" si="82"/>
        <v>Bombardier Aerospace</v>
      </c>
      <c r="C137" s="3" t="str">
        <f t="shared" ref="C137:C158" si="83">"Dorval"</f>
        <v>Dorval</v>
      </c>
      <c r="D137" s="3" t="str">
        <f t="shared" ref="D137:D158" si="84">"Quebec"</f>
        <v>Quebec</v>
      </c>
      <c r="E137" s="3" t="str">
        <f t="shared" ref="E137:E158" si="85">"Canada"</f>
        <v>Canada</v>
      </c>
      <c r="F137" s="3" t="str">
        <f>"Bombardier Q200"</f>
        <v>Bombardier Q200</v>
      </c>
      <c r="G137" s="3" t="str">
        <f>"Turboprops"</f>
        <v>Turboprops</v>
      </c>
      <c r="H137" s="8" t="str">
        <f t="shared" si="76"/>
        <v>2</v>
      </c>
      <c r="I137" s="8" t="str">
        <f>"37-39"</f>
        <v>37-39</v>
      </c>
      <c r="J137" s="8" t="str">
        <f>"85"</f>
        <v>85</v>
      </c>
      <c r="K137" s="8" t="str">
        <f>"585"</f>
        <v>585</v>
      </c>
      <c r="L137" s="8" t="str">
        <f>"73"</f>
        <v>73</v>
      </c>
      <c r="M137" s="8" t="str">
        <f>"24.6"</f>
        <v>24.6</v>
      </c>
      <c r="N137" s="8" t="str">
        <f>"23,079"</f>
        <v>23,079</v>
      </c>
      <c r="O137" s="8" t="str">
        <f>"36,300"</f>
        <v>36,300</v>
      </c>
      <c r="P137" s="8" t="str">
        <f>"34,500"</f>
        <v>34,500</v>
      </c>
      <c r="Q137" s="8" t="str">
        <f>"8,921"</f>
        <v>8,921</v>
      </c>
      <c r="R137" s="3" t="str">
        <f>"2 X Pratt &amp; Whitney Canada PW123C/D"</f>
        <v>2 X Pratt &amp; Whitney Canada PW123C/D</v>
      </c>
      <c r="S137" s="3"/>
      <c r="T137" s="3"/>
      <c r="U137" s="1">
        <f t="shared" ref="U137:U200" si="86">O137/K137</f>
        <v>62.051282051282051</v>
      </c>
      <c r="V137" s="8" t="str">
        <f>"333"</f>
        <v>333</v>
      </c>
      <c r="W137" s="8" t="str">
        <f>"333"</f>
        <v>333</v>
      </c>
      <c r="X137" s="8" t="str">
        <f>"3,196"</f>
        <v>3,196</v>
      </c>
      <c r="Y137" s="8" t="str">
        <f>"2,605"</f>
        <v>2,605</v>
      </c>
      <c r="Z137" s="8" t="str">
        <f>"1,143"</f>
        <v>1,143</v>
      </c>
      <c r="AA137" s="3" t="str">
        <f>""</f>
        <v/>
      </c>
    </row>
    <row r="138" spans="1:27" ht="19.95" customHeight="1">
      <c r="A138" s="1" t="str">
        <f t="shared" si="82"/>
        <v>Bombardier Aerospace</v>
      </c>
      <c r="B138" s="2" t="str">
        <f t="shared" si="82"/>
        <v>Bombardier Aerospace</v>
      </c>
      <c r="C138" s="1" t="str">
        <f t="shared" si="83"/>
        <v>Dorval</v>
      </c>
      <c r="D138" s="1" t="str">
        <f t="shared" si="84"/>
        <v>Quebec</v>
      </c>
      <c r="E138" s="1" t="str">
        <f t="shared" si="85"/>
        <v>Canada</v>
      </c>
      <c r="F138" s="1" t="str">
        <f>"Bombardier Q300"</f>
        <v>Bombardier Q300</v>
      </c>
      <c r="G138" s="1" t="str">
        <f>"Turboprops"</f>
        <v>Turboprops</v>
      </c>
      <c r="H138" s="7" t="str">
        <f t="shared" si="76"/>
        <v>2</v>
      </c>
      <c r="I138" s="7" t="str">
        <f>"50-56"</f>
        <v>50-56</v>
      </c>
      <c r="J138" s="7" t="str">
        <f>"90"</f>
        <v>90</v>
      </c>
      <c r="K138" s="7" t="str">
        <f>"605"</f>
        <v>605</v>
      </c>
      <c r="L138" s="7" t="str">
        <f>"84.3"</f>
        <v>84.3</v>
      </c>
      <c r="M138" s="7" t="str">
        <f>"24.6"</f>
        <v>24.6</v>
      </c>
      <c r="N138" s="7" t="str">
        <f>"26,000"</f>
        <v>26,000</v>
      </c>
      <c r="O138" s="7" t="str">
        <f>"43,000"</f>
        <v>43,000</v>
      </c>
      <c r="P138" s="7" t="str">
        <f>"42,000"</f>
        <v>42,000</v>
      </c>
      <c r="Q138" s="7" t="str">
        <f>"13,500"</f>
        <v>13,500</v>
      </c>
      <c r="R138" s="1" t="str">
        <f>"2 X Pratt &amp; Whitney Canada PW123/B/E"</f>
        <v>2 X Pratt &amp; Whitney Canada PW123/B/E</v>
      </c>
      <c r="S138" s="1"/>
      <c r="T138" s="1"/>
      <c r="U138" s="1">
        <f t="shared" si="86"/>
        <v>71.074380165289256</v>
      </c>
      <c r="V138" s="7" t="str">
        <f>"330"</f>
        <v>330</v>
      </c>
      <c r="W138" s="7" t="str">
        <f>"330"</f>
        <v>330</v>
      </c>
      <c r="X138" s="7" t="str">
        <f>"3,896"</f>
        <v>3,896</v>
      </c>
      <c r="Y138" s="7" t="str">
        <f>"3,415"</f>
        <v>3,415</v>
      </c>
      <c r="Z138" s="7" t="str">
        <f>"1,147"</f>
        <v>1,147</v>
      </c>
      <c r="AA138" s="1" t="str">
        <f>""</f>
        <v/>
      </c>
    </row>
    <row r="139" spans="1:27" ht="19.95" customHeight="1">
      <c r="A139" s="3" t="str">
        <f t="shared" si="82"/>
        <v>Bombardier Aerospace</v>
      </c>
      <c r="B139" s="4" t="str">
        <f t="shared" si="82"/>
        <v>Bombardier Aerospace</v>
      </c>
      <c r="C139" s="3" t="str">
        <f t="shared" si="83"/>
        <v>Dorval</v>
      </c>
      <c r="D139" s="3" t="str">
        <f t="shared" si="84"/>
        <v>Quebec</v>
      </c>
      <c r="E139" s="3" t="str">
        <f t="shared" si="85"/>
        <v>Canada</v>
      </c>
      <c r="F139" s="3" t="str">
        <f>"Bombardier Q400"</f>
        <v>Bombardier Q400</v>
      </c>
      <c r="G139" s="3" t="str">
        <f>"Turboprops"</f>
        <v>Turboprops</v>
      </c>
      <c r="H139" s="8" t="str">
        <f t="shared" si="76"/>
        <v>2</v>
      </c>
      <c r="I139" s="8" t="str">
        <f>"68-78"</f>
        <v>68-78</v>
      </c>
      <c r="J139" s="8" t="str">
        <f>"93.3"</f>
        <v>93.3</v>
      </c>
      <c r="K139" s="8" t="str">
        <f>"679"</f>
        <v>679</v>
      </c>
      <c r="L139" s="8" t="str">
        <f>"107.8"</f>
        <v>107.8</v>
      </c>
      <c r="M139" s="8" t="str">
        <f>"27.5"</f>
        <v>27.5</v>
      </c>
      <c r="N139" s="8" t="str">
        <f>"37,887"</f>
        <v>37,887</v>
      </c>
      <c r="O139" s="8" t="str">
        <f>"65,200"</f>
        <v>65,200</v>
      </c>
      <c r="P139" s="8" t="str">
        <f>"62,000"</f>
        <v>62,000</v>
      </c>
      <c r="Q139" s="8" t="str">
        <f>"20,113"</f>
        <v>20,113</v>
      </c>
      <c r="R139" s="3" t="str">
        <f>"2 X Pratt &amp; Whitney Canada PW150A"</f>
        <v>2 X Pratt &amp; Whitney Canada PW150A</v>
      </c>
      <c r="S139" s="3"/>
      <c r="T139" s="3"/>
      <c r="U139" s="1">
        <f t="shared" si="86"/>
        <v>96.023564064801178</v>
      </c>
      <c r="V139" s="8" t="str">
        <f>"414"</f>
        <v>414</v>
      </c>
      <c r="W139" s="8" t="str">
        <f>"414"</f>
        <v>414</v>
      </c>
      <c r="X139" s="8" t="str">
        <f>"4,265"</f>
        <v>4,265</v>
      </c>
      <c r="Y139" s="8" t="str">
        <f>"4,221"</f>
        <v>4,221</v>
      </c>
      <c r="Z139" s="8" t="str">
        <f>"1,650"</f>
        <v>1,650</v>
      </c>
      <c r="AA139" s="3" t="str">
        <f>"First flight December 1997. First delivery February 2000."</f>
        <v>First flight December 1997. First delivery February 2000.</v>
      </c>
    </row>
    <row r="140" spans="1:27" ht="19.95" customHeight="1">
      <c r="A140" s="1" t="str">
        <f t="shared" si="82"/>
        <v>Bombardier Aerospace</v>
      </c>
      <c r="B140" s="2" t="str">
        <f t="shared" si="82"/>
        <v>Bombardier Aerospace</v>
      </c>
      <c r="C140" s="1" t="str">
        <f t="shared" si="83"/>
        <v>Dorval</v>
      </c>
      <c r="D140" s="1" t="str">
        <f t="shared" si="84"/>
        <v>Quebec</v>
      </c>
      <c r="E140" s="1" t="str">
        <f t="shared" si="85"/>
        <v>Canada</v>
      </c>
      <c r="F140" s="1" t="str">
        <f>"CRJ1000"</f>
        <v>CRJ1000</v>
      </c>
      <c r="G140" s="1" t="str">
        <f t="shared" ref="G140:G158" si="87">"Narrow-Body Turbofans"</f>
        <v>Narrow-Body Turbofans</v>
      </c>
      <c r="H140" s="7" t="str">
        <f t="shared" si="76"/>
        <v>2</v>
      </c>
      <c r="I140" s="7" t="str">
        <f>"100"</f>
        <v>100</v>
      </c>
      <c r="J140" s="7" t="str">
        <f>"85.9"</f>
        <v>85.9</v>
      </c>
      <c r="K140" s="7" t="str">
        <f>"816"</f>
        <v>816</v>
      </c>
      <c r="L140" s="7" t="str">
        <f>"128.4"</f>
        <v>128.4</v>
      </c>
      <c r="M140" s="7" t="str">
        <f>"23.4"</f>
        <v>23.4</v>
      </c>
      <c r="N140" s="7" t="str">
        <f>"51,100"</f>
        <v>51,100</v>
      </c>
      <c r="O140" s="7" t="str">
        <f>"90,500"</f>
        <v>90,500</v>
      </c>
      <c r="P140" s="7" t="str">
        <f>"81,500"</f>
        <v>81,500</v>
      </c>
      <c r="Q140" s="7" t="str">
        <f>"26,400"</f>
        <v>26,400</v>
      </c>
      <c r="R140" s="1" t="str">
        <f>"2 X GE CF34-8C5A1"</f>
        <v>2 X GE CF34-8C5A1</v>
      </c>
      <c r="S140" s="1"/>
      <c r="T140" s="1"/>
      <c r="U140" s="1">
        <f t="shared" si="86"/>
        <v>110.90686274509804</v>
      </c>
      <c r="V140" s="7" t="str">
        <f>"M 0.82"</f>
        <v>M 0.82</v>
      </c>
      <c r="W140" s="7" t="str">
        <f>"M 0.78"</f>
        <v>M 0.78</v>
      </c>
      <c r="X140" s="7" t="str">
        <f>"6,549"</f>
        <v>6,549</v>
      </c>
      <c r="Y140" s="7" t="str">
        <f>"5,756"</f>
        <v>5,756</v>
      </c>
      <c r="Z140" s="7" t="str">
        <f>"1,716"</f>
        <v>1,716</v>
      </c>
      <c r="AA140" s="1" t="str">
        <f>"Entry into service end of 2009."</f>
        <v>Entry into service end of 2009.</v>
      </c>
    </row>
    <row r="141" spans="1:27" ht="19.95" customHeight="1">
      <c r="A141" s="3" t="str">
        <f t="shared" si="82"/>
        <v>Bombardier Aerospace</v>
      </c>
      <c r="B141" s="4" t="str">
        <f t="shared" si="82"/>
        <v>Bombardier Aerospace</v>
      </c>
      <c r="C141" s="3" t="str">
        <f t="shared" si="83"/>
        <v>Dorval</v>
      </c>
      <c r="D141" s="3" t="str">
        <f t="shared" si="84"/>
        <v>Quebec</v>
      </c>
      <c r="E141" s="3" t="str">
        <f t="shared" si="85"/>
        <v>Canada</v>
      </c>
      <c r="F141" s="3" t="str">
        <f>"CRJ1000 EL"</f>
        <v>CRJ1000 EL</v>
      </c>
      <c r="G141" s="3" t="str">
        <f t="shared" si="87"/>
        <v>Narrow-Body Turbofans</v>
      </c>
      <c r="H141" s="8" t="str">
        <f t="shared" si="76"/>
        <v>2</v>
      </c>
      <c r="I141" s="8" t="str">
        <f>"100"</f>
        <v>100</v>
      </c>
      <c r="J141" s="8" t="str">
        <f>"85.9"</f>
        <v>85.9</v>
      </c>
      <c r="K141" s="8" t="str">
        <f>"816"</f>
        <v>816</v>
      </c>
      <c r="L141" s="8" t="str">
        <f>"128.4"</f>
        <v>128.4</v>
      </c>
      <c r="M141" s="8" t="str">
        <f>"23.4"</f>
        <v>23.4</v>
      </c>
      <c r="N141" s="8" t="str">
        <f>"51,100"</f>
        <v>51,100</v>
      </c>
      <c r="O141" s="8" t="str">
        <f>"85,970"</f>
        <v>85,970</v>
      </c>
      <c r="P141" s="8" t="str">
        <f>"81,500"</f>
        <v>81,500</v>
      </c>
      <c r="Q141" s="8" t="str">
        <f>"26,400"</f>
        <v>26,400</v>
      </c>
      <c r="R141" s="3" t="str">
        <f>"2 X GE CF34-8C5A1"</f>
        <v>2 X GE CF34-8C5A1</v>
      </c>
      <c r="S141" s="3"/>
      <c r="T141" s="3"/>
      <c r="U141" s="1">
        <f t="shared" si="86"/>
        <v>105.35539215686275</v>
      </c>
      <c r="V141" s="8" t="str">
        <f>"M 0.82"</f>
        <v>M 0.82</v>
      </c>
      <c r="W141" s="8" t="str">
        <f>"M 0.78"</f>
        <v>M 0.78</v>
      </c>
      <c r="X141" s="8" t="str">
        <f>""</f>
        <v/>
      </c>
      <c r="Y141" s="8" t="str">
        <f>""</f>
        <v/>
      </c>
      <c r="Z141" s="8" t="str">
        <f>""</f>
        <v/>
      </c>
      <c r="AA141" s="3" t="str">
        <f>"Entry into service end of 2009."</f>
        <v>Entry into service end of 2009.</v>
      </c>
    </row>
    <row r="142" spans="1:27" ht="19.95" customHeight="1">
      <c r="A142" s="1" t="str">
        <f t="shared" si="82"/>
        <v>Bombardier Aerospace</v>
      </c>
      <c r="B142" s="2" t="str">
        <f t="shared" si="82"/>
        <v>Bombardier Aerospace</v>
      </c>
      <c r="C142" s="1" t="str">
        <f t="shared" si="83"/>
        <v>Dorval</v>
      </c>
      <c r="D142" s="1" t="str">
        <f t="shared" si="84"/>
        <v>Quebec</v>
      </c>
      <c r="E142" s="1" t="str">
        <f t="shared" si="85"/>
        <v>Canada</v>
      </c>
      <c r="F142" s="1" t="str">
        <f>"CRJ1000 ER"</f>
        <v>CRJ1000 ER</v>
      </c>
      <c r="G142" s="1" t="str">
        <f t="shared" si="87"/>
        <v>Narrow-Body Turbofans</v>
      </c>
      <c r="H142" s="7" t="str">
        <f t="shared" si="76"/>
        <v>2</v>
      </c>
      <c r="I142" s="7" t="str">
        <f>"100"</f>
        <v>100</v>
      </c>
      <c r="J142" s="7" t="str">
        <f>"85.9"</f>
        <v>85.9</v>
      </c>
      <c r="K142" s="7" t="str">
        <f>"816"</f>
        <v>816</v>
      </c>
      <c r="L142" s="7" t="str">
        <f>"128.4"</f>
        <v>128.4</v>
      </c>
      <c r="M142" s="7" t="str">
        <f>"23.4"</f>
        <v>23.4</v>
      </c>
      <c r="N142" s="7" t="str">
        <f>"51,100"</f>
        <v>51,100</v>
      </c>
      <c r="O142" s="7" t="str">
        <f>"91,800"</f>
        <v>91,800</v>
      </c>
      <c r="P142" s="7" t="str">
        <f>"81,500"</f>
        <v>81,500</v>
      </c>
      <c r="Q142" s="7" t="str">
        <f>"26,400"</f>
        <v>26,400</v>
      </c>
      <c r="R142" s="1" t="str">
        <f>"2 X GE CF34-8C5A1"</f>
        <v>2 X GE CF34-8C5A1</v>
      </c>
      <c r="S142" s="1"/>
      <c r="T142" s="1"/>
      <c r="U142" s="1">
        <f t="shared" si="86"/>
        <v>112.5</v>
      </c>
      <c r="V142" s="7" t="str">
        <f>"M 0.82"</f>
        <v>M 0.82</v>
      </c>
      <c r="W142" s="7" t="str">
        <f>"M 0.78"</f>
        <v>M 0.78</v>
      </c>
      <c r="X142" s="7" t="str">
        <f>"6,820"</f>
        <v>6,820</v>
      </c>
      <c r="Y142" s="7" t="str">
        <f>"5,756"</f>
        <v>5,756</v>
      </c>
      <c r="Z142" s="7" t="str">
        <f>"1,946"</f>
        <v>1,946</v>
      </c>
      <c r="AA142" s="1" t="str">
        <f>"Entry into service end of 2009."</f>
        <v>Entry into service end of 2009.</v>
      </c>
    </row>
    <row r="143" spans="1:27" ht="19.95" customHeight="1">
      <c r="A143" s="3" t="str">
        <f t="shared" si="82"/>
        <v>Bombardier Aerospace</v>
      </c>
      <c r="B143" s="4" t="str">
        <f t="shared" si="82"/>
        <v>Bombardier Aerospace</v>
      </c>
      <c r="C143" s="3" t="str">
        <f t="shared" si="83"/>
        <v>Dorval</v>
      </c>
      <c r="D143" s="3" t="str">
        <f t="shared" si="84"/>
        <v>Quebec</v>
      </c>
      <c r="E143" s="3" t="str">
        <f t="shared" si="85"/>
        <v>Canada</v>
      </c>
      <c r="F143" s="3" t="str">
        <f>"CRJ1000 NextGen"</f>
        <v>CRJ1000 NextGen</v>
      </c>
      <c r="G143" s="3" t="str">
        <f t="shared" si="87"/>
        <v>Narrow-Body Turbofans</v>
      </c>
      <c r="H143" s="8" t="str">
        <f t="shared" si="76"/>
        <v>2</v>
      </c>
      <c r="I143" s="8" t="str">
        <f>"100-104"</f>
        <v>100-104</v>
      </c>
      <c r="J143" s="8" t="str">
        <f>"85.9"</f>
        <v>85.9</v>
      </c>
      <c r="K143" s="8" t="str">
        <f>"816"</f>
        <v>816</v>
      </c>
      <c r="L143" s="8" t="str">
        <f>"128.5"</f>
        <v>128.5</v>
      </c>
      <c r="M143" s="8" t="str">
        <f>"23.5"</f>
        <v>23.5</v>
      </c>
      <c r="N143" s="8" t="str">
        <f>""</f>
        <v/>
      </c>
      <c r="O143" s="8" t="str">
        <f>""</f>
        <v/>
      </c>
      <c r="P143" s="8" t="str">
        <f>"81,500"</f>
        <v>81,500</v>
      </c>
      <c r="Q143" s="8" t="str">
        <f>""</f>
        <v/>
      </c>
      <c r="R143" s="3" t="str">
        <f>"2 x GE CF34-8C5A1 turbofans"</f>
        <v>2 x GE CF34-8C5A1 turbofans</v>
      </c>
      <c r="S143" s="3"/>
      <c r="T143" s="3"/>
      <c r="U143" s="1" t="e">
        <f t="shared" si="86"/>
        <v>#VALUE!</v>
      </c>
      <c r="V143" s="8" t="str">
        <f>"541 mph"</f>
        <v>541 mph</v>
      </c>
      <c r="W143" s="8" t="str">
        <f>"515 mph"</f>
        <v>515 mph</v>
      </c>
      <c r="X143" s="8" t="str">
        <f>"6,549"</f>
        <v>6,549</v>
      </c>
      <c r="Y143" s="8" t="str">
        <f>"5,756"</f>
        <v>5,756</v>
      </c>
      <c r="Z143" s="8" t="str">
        <f>""</f>
        <v/>
      </c>
      <c r="AA143" s="3" t="str">
        <f>""</f>
        <v/>
      </c>
    </row>
    <row r="144" spans="1:27" ht="19.95" customHeight="1">
      <c r="A144" s="1" t="str">
        <f t="shared" si="82"/>
        <v>Bombardier Aerospace</v>
      </c>
      <c r="B144" s="2" t="str">
        <f t="shared" si="82"/>
        <v>Bombardier Aerospace</v>
      </c>
      <c r="C144" s="1" t="str">
        <f t="shared" si="83"/>
        <v>Dorval</v>
      </c>
      <c r="D144" s="1" t="str">
        <f t="shared" si="84"/>
        <v>Quebec</v>
      </c>
      <c r="E144" s="1" t="str">
        <f t="shared" si="85"/>
        <v>Canada</v>
      </c>
      <c r="F144" s="1" t="str">
        <f>"CRJ200 ER"</f>
        <v>CRJ200 ER</v>
      </c>
      <c r="G144" s="1" t="str">
        <f t="shared" si="87"/>
        <v>Narrow-Body Turbofans</v>
      </c>
      <c r="H144" s="7" t="str">
        <f t="shared" si="76"/>
        <v>2</v>
      </c>
      <c r="I144" s="7" t="str">
        <f>"50"</f>
        <v>50</v>
      </c>
      <c r="J144" s="7" t="str">
        <f>"69.6"</f>
        <v>69.6</v>
      </c>
      <c r="K144" s="7" t="str">
        <f>"520.4"</f>
        <v>520.4</v>
      </c>
      <c r="L144" s="7" t="str">
        <f>"87.8"</f>
        <v>87.8</v>
      </c>
      <c r="M144" s="7" t="str">
        <f>"20.4"</f>
        <v>20.4</v>
      </c>
      <c r="N144" s="7" t="str">
        <f>"30,900"</f>
        <v>30,900</v>
      </c>
      <c r="O144" s="7" t="str">
        <f>"51,000"</f>
        <v>51,000</v>
      </c>
      <c r="P144" s="7" t="str">
        <f>"47,000"</f>
        <v>47,000</v>
      </c>
      <c r="Q144" s="7" t="str">
        <f>"13,100"</f>
        <v>13,100</v>
      </c>
      <c r="R144" s="1" t="str">
        <f>"2 X GE CF34-3B1"</f>
        <v>2 X GE CF34-3B1</v>
      </c>
      <c r="S144" s="1"/>
      <c r="T144" s="1"/>
      <c r="U144" s="1">
        <f t="shared" si="86"/>
        <v>98.001537279016148</v>
      </c>
      <c r="V144" s="7" t="str">
        <f>"M 0.81"</f>
        <v>M 0.81</v>
      </c>
      <c r="W144" s="7" t="str">
        <f>"M 0.74"</f>
        <v>M 0.74</v>
      </c>
      <c r="X144" s="7" t="str">
        <f>"5,511"</f>
        <v>5,511</v>
      </c>
      <c r="Y144" s="7" t="str">
        <f>"4,847"</f>
        <v>4,847</v>
      </c>
      <c r="Z144" s="7" t="str">
        <f>"1,474"</f>
        <v>1,474</v>
      </c>
      <c r="AA144" s="1" t="str">
        <f>""</f>
        <v/>
      </c>
    </row>
    <row r="145" spans="1:27" ht="19.95" customHeight="1">
      <c r="A145" s="3" t="str">
        <f t="shared" si="82"/>
        <v>Bombardier Aerospace</v>
      </c>
      <c r="B145" s="4" t="str">
        <f t="shared" si="82"/>
        <v>Bombardier Aerospace</v>
      </c>
      <c r="C145" s="3" t="str">
        <f t="shared" si="83"/>
        <v>Dorval</v>
      </c>
      <c r="D145" s="3" t="str">
        <f t="shared" si="84"/>
        <v>Quebec</v>
      </c>
      <c r="E145" s="3" t="str">
        <f t="shared" si="85"/>
        <v>Canada</v>
      </c>
      <c r="F145" s="3" t="str">
        <f>"CRJ200 LR"</f>
        <v>CRJ200 LR</v>
      </c>
      <c r="G145" s="3" t="str">
        <f t="shared" si="87"/>
        <v>Narrow-Body Turbofans</v>
      </c>
      <c r="H145" s="8" t="str">
        <f t="shared" si="76"/>
        <v>2</v>
      </c>
      <c r="I145" s="8" t="str">
        <f>"50"</f>
        <v>50</v>
      </c>
      <c r="J145" s="8" t="str">
        <f>"69.6"</f>
        <v>69.6</v>
      </c>
      <c r="K145" s="8" t="str">
        <f>"520.4"</f>
        <v>520.4</v>
      </c>
      <c r="L145" s="8" t="str">
        <f>"87.8"</f>
        <v>87.8</v>
      </c>
      <c r="M145" s="8" t="str">
        <f>"20.4"</f>
        <v>20.4</v>
      </c>
      <c r="N145" s="8" t="str">
        <f>"30,900"</f>
        <v>30,900</v>
      </c>
      <c r="O145" s="8" t="str">
        <f>"53,000"</f>
        <v>53,000</v>
      </c>
      <c r="P145" s="8" t="str">
        <f>"47,000"</f>
        <v>47,000</v>
      </c>
      <c r="Q145" s="8" t="str">
        <f>"13,100"</f>
        <v>13,100</v>
      </c>
      <c r="R145" s="3" t="str">
        <f>"2 X GE CF34-3B1"</f>
        <v>2 X GE CF34-3B1</v>
      </c>
      <c r="S145" s="3"/>
      <c r="T145" s="3"/>
      <c r="U145" s="1">
        <f t="shared" si="86"/>
        <v>101.84473481936972</v>
      </c>
      <c r="V145" s="8" t="str">
        <f>"M 0.81"</f>
        <v>M 0.81</v>
      </c>
      <c r="W145" s="8" t="str">
        <f>"M 0.74"</f>
        <v>M 0.74</v>
      </c>
      <c r="X145" s="8" t="str">
        <f>"6,017"</f>
        <v>6,017</v>
      </c>
      <c r="Y145" s="8" t="str">
        <f>"4,847"</f>
        <v>4,847</v>
      </c>
      <c r="Z145" s="8" t="str">
        <f>"1,884"</f>
        <v>1,884</v>
      </c>
      <c r="AA145" s="3" t="str">
        <f>""</f>
        <v/>
      </c>
    </row>
    <row r="146" spans="1:27" ht="19.95" customHeight="1">
      <c r="A146" s="1" t="str">
        <f t="shared" si="82"/>
        <v>Bombardier Aerospace</v>
      </c>
      <c r="B146" s="2" t="str">
        <f t="shared" si="82"/>
        <v>Bombardier Aerospace</v>
      </c>
      <c r="C146" s="1" t="str">
        <f t="shared" si="83"/>
        <v>Dorval</v>
      </c>
      <c r="D146" s="1" t="str">
        <f t="shared" si="84"/>
        <v>Quebec</v>
      </c>
      <c r="E146" s="1" t="str">
        <f t="shared" si="85"/>
        <v>Canada</v>
      </c>
      <c r="F146" s="1" t="str">
        <f>"CRJ700"</f>
        <v>CRJ700</v>
      </c>
      <c r="G146" s="1" t="str">
        <f t="shared" si="87"/>
        <v>Narrow-Body Turbofans</v>
      </c>
      <c r="H146" s="7" t="str">
        <f t="shared" si="76"/>
        <v>2</v>
      </c>
      <c r="I146" s="7" t="str">
        <f>"70-78"</f>
        <v>70-78</v>
      </c>
      <c r="J146" s="7" t="str">
        <f>"76.3"</f>
        <v>76.3</v>
      </c>
      <c r="K146" s="7" t="str">
        <f>"760"</f>
        <v>760</v>
      </c>
      <c r="L146" s="7" t="str">
        <f>"106.7"</f>
        <v>106.7</v>
      </c>
      <c r="M146" s="7" t="str">
        <f>"24.8"</f>
        <v>24.8</v>
      </c>
      <c r="N146" s="7" t="str">
        <f>"43,500"</f>
        <v>43,500</v>
      </c>
      <c r="O146" s="7" t="str">
        <f>"72,750"</f>
        <v>72,750</v>
      </c>
      <c r="P146" s="7" t="str">
        <f>"67,000"</f>
        <v>67,000</v>
      </c>
      <c r="Q146" s="7" t="str">
        <f>"18,800"</f>
        <v>18,800</v>
      </c>
      <c r="R146" s="1" t="str">
        <f>"2 X GE CF34-8C5B1"</f>
        <v>2 X GE CF34-8C5B1</v>
      </c>
      <c r="S146" s="1"/>
      <c r="T146" s="1"/>
      <c r="U146" s="1">
        <f t="shared" si="86"/>
        <v>95.723684210526315</v>
      </c>
      <c r="V146" s="7" t="str">
        <f>"M 0.83"</f>
        <v>M 0.83</v>
      </c>
      <c r="W146" s="7" t="str">
        <f>"M 0.78"</f>
        <v>M 0.78</v>
      </c>
      <c r="X146" s="7" t="str">
        <f>"5,271"</f>
        <v>5,271</v>
      </c>
      <c r="Y146" s="7" t="str">
        <f>"5,087"</f>
        <v>5,087</v>
      </c>
      <c r="Z146" s="7" t="str">
        <f>"1,700"</f>
        <v>1,700</v>
      </c>
      <c r="AA146" s="1" t="str">
        <f>""</f>
        <v/>
      </c>
    </row>
    <row r="147" spans="1:27" ht="19.95" customHeight="1">
      <c r="A147" s="3" t="str">
        <f t="shared" si="82"/>
        <v>Bombardier Aerospace</v>
      </c>
      <c r="B147" s="4" t="str">
        <f t="shared" si="82"/>
        <v>Bombardier Aerospace</v>
      </c>
      <c r="C147" s="3" t="str">
        <f t="shared" si="83"/>
        <v>Dorval</v>
      </c>
      <c r="D147" s="3" t="str">
        <f t="shared" si="84"/>
        <v>Quebec</v>
      </c>
      <c r="E147" s="3" t="str">
        <f t="shared" si="85"/>
        <v>Canada</v>
      </c>
      <c r="F147" s="3" t="str">
        <f>"CRJ700 ER"</f>
        <v>CRJ700 ER</v>
      </c>
      <c r="G147" s="3" t="str">
        <f t="shared" si="87"/>
        <v>Narrow-Body Turbofans</v>
      </c>
      <c r="H147" s="8" t="str">
        <f t="shared" si="76"/>
        <v>2</v>
      </c>
      <c r="I147" s="8" t="str">
        <f>"70-78"</f>
        <v>70-78</v>
      </c>
      <c r="J147" s="8" t="str">
        <f>"76.3"</f>
        <v>76.3</v>
      </c>
      <c r="K147" s="8" t="str">
        <f>"760"</f>
        <v>760</v>
      </c>
      <c r="L147" s="8" t="str">
        <f>"106.7"</f>
        <v>106.7</v>
      </c>
      <c r="M147" s="8" t="str">
        <f>"24.8"</f>
        <v>24.8</v>
      </c>
      <c r="N147" s="8" t="str">
        <f>"43,500"</f>
        <v>43,500</v>
      </c>
      <c r="O147" s="8" t="str">
        <f>"75,000"</f>
        <v>75,000</v>
      </c>
      <c r="P147" s="8" t="str">
        <f>"67,000"</f>
        <v>67,000</v>
      </c>
      <c r="Q147" s="8" t="str">
        <f>"18,800"</f>
        <v>18,800</v>
      </c>
      <c r="R147" s="3" t="str">
        <f>"2 X GE CF34-8C5B1"</f>
        <v>2 X GE CF34-8C5B1</v>
      </c>
      <c r="S147" s="3"/>
      <c r="T147" s="3"/>
      <c r="U147" s="1">
        <f t="shared" si="86"/>
        <v>98.684210526315795</v>
      </c>
      <c r="V147" s="8" t="str">
        <f>"M 0.83"</f>
        <v>M 0.83</v>
      </c>
      <c r="W147" s="8" t="str">
        <f>"M 0.78"</f>
        <v>M 0.78</v>
      </c>
      <c r="X147" s="8" t="str">
        <f>"5,657"</f>
        <v>5,657</v>
      </c>
      <c r="Y147" s="8" t="str">
        <f>"5,087"</f>
        <v>5,087</v>
      </c>
      <c r="Z147" s="8" t="str">
        <f>"2,050"</f>
        <v>2,050</v>
      </c>
      <c r="AA147" s="3" t="str">
        <f>"First delivery February 2001."</f>
        <v>First delivery February 2001.</v>
      </c>
    </row>
    <row r="148" spans="1:27" ht="19.95" customHeight="1">
      <c r="A148" s="1" t="str">
        <f t="shared" si="82"/>
        <v>Bombardier Aerospace</v>
      </c>
      <c r="B148" s="2" t="str">
        <f t="shared" si="82"/>
        <v>Bombardier Aerospace</v>
      </c>
      <c r="C148" s="1" t="str">
        <f t="shared" si="83"/>
        <v>Dorval</v>
      </c>
      <c r="D148" s="1" t="str">
        <f t="shared" si="84"/>
        <v>Quebec</v>
      </c>
      <c r="E148" s="1" t="str">
        <f t="shared" si="85"/>
        <v>Canada</v>
      </c>
      <c r="F148" s="1" t="str">
        <f>"CRJ700 LR"</f>
        <v>CRJ700 LR</v>
      </c>
      <c r="G148" s="1" t="str">
        <f t="shared" si="87"/>
        <v>Narrow-Body Turbofans</v>
      </c>
      <c r="H148" s="7" t="str">
        <f t="shared" si="76"/>
        <v>2</v>
      </c>
      <c r="I148" s="7" t="str">
        <f>"70-78"</f>
        <v>70-78</v>
      </c>
      <c r="J148" s="7" t="str">
        <f>"76.3"</f>
        <v>76.3</v>
      </c>
      <c r="K148" s="7" t="str">
        <f>"738.7"</f>
        <v>738.7</v>
      </c>
      <c r="L148" s="7" t="str">
        <f>"106.7"</f>
        <v>106.7</v>
      </c>
      <c r="M148" s="7" t="str">
        <f>"24.8"</f>
        <v>24.8</v>
      </c>
      <c r="N148" s="7" t="str">
        <f>"43,500"</f>
        <v>43,500</v>
      </c>
      <c r="O148" s="7" t="str">
        <f>"77,000"</f>
        <v>77,000</v>
      </c>
      <c r="P148" s="7" t="str">
        <f>"67,600"</f>
        <v>67,600</v>
      </c>
      <c r="Q148" s="7" t="str">
        <f>"19,995"</f>
        <v>19,995</v>
      </c>
      <c r="R148" s="1" t="str">
        <f>"2 X GE CF34-8C5B1"</f>
        <v>2 X GE CF34-8C5B1</v>
      </c>
      <c r="S148" s="1"/>
      <c r="T148" s="1"/>
      <c r="U148" s="1">
        <f t="shared" si="86"/>
        <v>104.23717341275213</v>
      </c>
      <c r="V148" s="7" t="str">
        <f>"M 0.83"</f>
        <v>M 0.83</v>
      </c>
      <c r="W148" s="7" t="str">
        <f>"M 0.78"</f>
        <v>M 0.78</v>
      </c>
      <c r="X148" s="7" t="str">
        <f>"6,072"</f>
        <v>6,072</v>
      </c>
      <c r="Y148" s="7" t="str">
        <f>"5,119"</f>
        <v>5,119</v>
      </c>
      <c r="Z148" s="7" t="str">
        <f>"2,354"</f>
        <v>2,354</v>
      </c>
      <c r="AA148" s="1" t="str">
        <f>""</f>
        <v/>
      </c>
    </row>
    <row r="149" spans="1:27" ht="19.95" customHeight="1">
      <c r="A149" s="3" t="str">
        <f t="shared" si="82"/>
        <v>Bombardier Aerospace</v>
      </c>
      <c r="B149" s="4" t="str">
        <f t="shared" si="82"/>
        <v>Bombardier Aerospace</v>
      </c>
      <c r="C149" s="3" t="str">
        <f t="shared" si="83"/>
        <v>Dorval</v>
      </c>
      <c r="D149" s="3" t="str">
        <f t="shared" si="84"/>
        <v>Quebec</v>
      </c>
      <c r="E149" s="3" t="str">
        <f t="shared" si="85"/>
        <v>Canada</v>
      </c>
      <c r="F149" s="3" t="str">
        <f>"CRJ700 NextGen"</f>
        <v>CRJ700 NextGen</v>
      </c>
      <c r="G149" s="3" t="str">
        <f t="shared" si="87"/>
        <v>Narrow-Body Turbofans</v>
      </c>
      <c r="H149" s="8" t="str">
        <f t="shared" si="76"/>
        <v>2</v>
      </c>
      <c r="I149" s="8" t="str">
        <f>"70-78"</f>
        <v>70-78</v>
      </c>
      <c r="J149" s="8" t="str">
        <f>"76.3"</f>
        <v>76.3</v>
      </c>
      <c r="K149" s="8" t="str">
        <f t="shared" ref="K149:K156" si="88">"760"</f>
        <v>760</v>
      </c>
      <c r="L149" s="8" t="str">
        <f>"106.8"</f>
        <v>106.8</v>
      </c>
      <c r="M149" s="8" t="str">
        <f>"24.1"</f>
        <v>24.1</v>
      </c>
      <c r="N149" s="8" t="str">
        <f>"62,300"</f>
        <v>62,300</v>
      </c>
      <c r="O149" s="8" t="str">
        <f>""</f>
        <v/>
      </c>
      <c r="P149" s="8" t="str">
        <f>"67,000"</f>
        <v>67,000</v>
      </c>
      <c r="Q149" s="8" t="str">
        <f>""</f>
        <v/>
      </c>
      <c r="R149" s="3" t="str">
        <f>"2 x GE CF34-8C5B1 turbofans"</f>
        <v>2 x GE CF34-8C5B1 turbofans</v>
      </c>
      <c r="S149" s="3"/>
      <c r="T149" s="3"/>
      <c r="U149" s="1" t="e">
        <f t="shared" si="86"/>
        <v>#VALUE!</v>
      </c>
      <c r="V149" s="8" t="str">
        <f>"544 mph"</f>
        <v>544 mph</v>
      </c>
      <c r="W149" s="8" t="str">
        <f>"515 mph"</f>
        <v>515 mph</v>
      </c>
      <c r="X149" s="8" t="str">
        <f>"5,271 ft"</f>
        <v>5,271 ft</v>
      </c>
      <c r="Y149" s="8" t="str">
        <f>"5,087 ft"</f>
        <v>5,087 ft</v>
      </c>
      <c r="Z149" s="8" t="str">
        <f>""</f>
        <v/>
      </c>
      <c r="AA149" s="3" t="str">
        <f>""</f>
        <v/>
      </c>
    </row>
    <row r="150" spans="1:27" ht="19.95" customHeight="1">
      <c r="A150" s="1" t="str">
        <f t="shared" si="82"/>
        <v>Bombardier Aerospace</v>
      </c>
      <c r="B150" s="2" t="str">
        <f t="shared" si="82"/>
        <v>Bombardier Aerospace</v>
      </c>
      <c r="C150" s="1" t="str">
        <f t="shared" si="83"/>
        <v>Dorval</v>
      </c>
      <c r="D150" s="1" t="str">
        <f t="shared" si="84"/>
        <v>Quebec</v>
      </c>
      <c r="E150" s="1" t="str">
        <f t="shared" si="85"/>
        <v>Canada</v>
      </c>
      <c r="F150" s="1" t="str">
        <f>"CRJ700 Series 705"</f>
        <v>CRJ700 Series 705</v>
      </c>
      <c r="G150" s="1" t="str">
        <f t="shared" si="87"/>
        <v>Narrow-Body Turbofans</v>
      </c>
      <c r="H150" s="7" t="str">
        <f t="shared" si="76"/>
        <v>2</v>
      </c>
      <c r="I150" s="7" t="str">
        <f>"74-75"</f>
        <v>74-75</v>
      </c>
      <c r="J150" s="7" t="str">
        <f t="shared" ref="J150:J155" si="89">"81.5"</f>
        <v>81.5</v>
      </c>
      <c r="K150" s="7" t="str">
        <f t="shared" si="88"/>
        <v>760</v>
      </c>
      <c r="L150" s="7" t="str">
        <f>"119.3"</f>
        <v>119.3</v>
      </c>
      <c r="M150" s="7" t="str">
        <f t="shared" ref="M150:M155" si="90">"24.6"</f>
        <v>24.6</v>
      </c>
      <c r="N150" s="7" t="str">
        <f t="shared" ref="N150:N155" si="91">"47,250"</f>
        <v>47,250</v>
      </c>
      <c r="O150" s="7" t="str">
        <f>"80,500"</f>
        <v>80,500</v>
      </c>
      <c r="P150" s="7" t="str">
        <f>"73,500"</f>
        <v>73,500</v>
      </c>
      <c r="Q150" s="7" t="str">
        <f>"22,750"</f>
        <v>22,750</v>
      </c>
      <c r="R150" s="1" t="str">
        <f t="shared" ref="R150:R155" si="92">"2 X GE CF34-8C5"</f>
        <v>2 X GE CF34-8C5</v>
      </c>
      <c r="S150" s="1"/>
      <c r="T150" s="1"/>
      <c r="U150" s="1">
        <f t="shared" si="86"/>
        <v>105.92105263157895</v>
      </c>
      <c r="V150" s="7" t="str">
        <f t="shared" ref="V150:V155" si="93">"M 0.83"</f>
        <v>M 0.83</v>
      </c>
      <c r="W150" s="7" t="str">
        <f t="shared" ref="W150:W155" si="94">"M 0.78"</f>
        <v>M 0.78</v>
      </c>
      <c r="X150" s="7" t="str">
        <f>"5,833"</f>
        <v>5,833</v>
      </c>
      <c r="Y150" s="7" t="str">
        <f>"5,235"</f>
        <v>5,235</v>
      </c>
      <c r="Z150" s="7" t="str">
        <f>"2,231"</f>
        <v>2,231</v>
      </c>
      <c r="AA150" s="1" t="str">
        <f>"First delivery May 2005."</f>
        <v>First delivery May 2005.</v>
      </c>
    </row>
    <row r="151" spans="1:27" ht="19.95" customHeight="1">
      <c r="A151" s="3" t="str">
        <f t="shared" si="82"/>
        <v>Bombardier Aerospace</v>
      </c>
      <c r="B151" s="4" t="str">
        <f t="shared" si="82"/>
        <v>Bombardier Aerospace</v>
      </c>
      <c r="C151" s="3" t="str">
        <f t="shared" si="83"/>
        <v>Dorval</v>
      </c>
      <c r="D151" s="3" t="str">
        <f t="shared" si="84"/>
        <v>Quebec</v>
      </c>
      <c r="E151" s="3" t="str">
        <f t="shared" si="85"/>
        <v>Canada</v>
      </c>
      <c r="F151" s="3" t="str">
        <f>"CRJ700 Series 705 ER"</f>
        <v>CRJ700 Series 705 ER</v>
      </c>
      <c r="G151" s="3" t="str">
        <f t="shared" si="87"/>
        <v>Narrow-Body Turbofans</v>
      </c>
      <c r="H151" s="8" t="str">
        <f t="shared" si="76"/>
        <v>2</v>
      </c>
      <c r="I151" s="8" t="str">
        <f>"74-75"</f>
        <v>74-75</v>
      </c>
      <c r="J151" s="8" t="str">
        <f t="shared" si="89"/>
        <v>81.5</v>
      </c>
      <c r="K151" s="8" t="str">
        <f t="shared" si="88"/>
        <v>760</v>
      </c>
      <c r="L151" s="8" t="str">
        <f>"119.3"</f>
        <v>119.3</v>
      </c>
      <c r="M151" s="8" t="str">
        <f t="shared" si="90"/>
        <v>24.6</v>
      </c>
      <c r="N151" s="8" t="str">
        <f t="shared" si="91"/>
        <v>47,250</v>
      </c>
      <c r="O151" s="8" t="str">
        <f>"82,500"</f>
        <v>82,500</v>
      </c>
      <c r="P151" s="8" t="str">
        <f>"73,500"</f>
        <v>73,500</v>
      </c>
      <c r="Q151" s="8" t="str">
        <f>"22,750"</f>
        <v>22,750</v>
      </c>
      <c r="R151" s="3" t="str">
        <f t="shared" si="92"/>
        <v>2 X GE CF34-8C5</v>
      </c>
      <c r="S151" s="3"/>
      <c r="T151" s="3"/>
      <c r="U151" s="1">
        <f t="shared" si="86"/>
        <v>108.55263157894737</v>
      </c>
      <c r="V151" s="8" t="str">
        <f t="shared" si="93"/>
        <v>M 0.83</v>
      </c>
      <c r="W151" s="8" t="str">
        <f t="shared" si="94"/>
        <v>M 0.78</v>
      </c>
      <c r="X151" s="8" t="str">
        <f>"6,105"</f>
        <v>6,105</v>
      </c>
      <c r="Y151" s="8" t="str">
        <f>"5,235"</f>
        <v>5,235</v>
      </c>
      <c r="Z151" s="8" t="str">
        <f>"2,344"</f>
        <v>2,344</v>
      </c>
      <c r="AA151" s="3" t="str">
        <f>""</f>
        <v/>
      </c>
    </row>
    <row r="152" spans="1:27" ht="19.95" customHeight="1">
      <c r="A152" s="1" t="str">
        <f t="shared" si="82"/>
        <v>Bombardier Aerospace</v>
      </c>
      <c r="B152" s="2" t="str">
        <f t="shared" si="82"/>
        <v>Bombardier Aerospace</v>
      </c>
      <c r="C152" s="1" t="str">
        <f t="shared" si="83"/>
        <v>Dorval</v>
      </c>
      <c r="D152" s="1" t="str">
        <f t="shared" si="84"/>
        <v>Quebec</v>
      </c>
      <c r="E152" s="1" t="str">
        <f t="shared" si="85"/>
        <v>Canada</v>
      </c>
      <c r="F152" s="1" t="str">
        <f>"CRJ700 Series 705 LR"</f>
        <v>CRJ700 Series 705 LR</v>
      </c>
      <c r="G152" s="1" t="str">
        <f t="shared" si="87"/>
        <v>Narrow-Body Turbofans</v>
      </c>
      <c r="H152" s="7" t="str">
        <f t="shared" si="76"/>
        <v>2</v>
      </c>
      <c r="I152" s="7" t="str">
        <f>"74-75"</f>
        <v>74-75</v>
      </c>
      <c r="J152" s="7" t="str">
        <f t="shared" si="89"/>
        <v>81.5</v>
      </c>
      <c r="K152" s="7" t="str">
        <f t="shared" si="88"/>
        <v>760</v>
      </c>
      <c r="L152" s="7" t="str">
        <f>"119.3"</f>
        <v>119.3</v>
      </c>
      <c r="M152" s="7" t="str">
        <f t="shared" si="90"/>
        <v>24.6</v>
      </c>
      <c r="N152" s="7" t="str">
        <f t="shared" si="91"/>
        <v>47,250</v>
      </c>
      <c r="O152" s="7" t="str">
        <f>"84,500"</f>
        <v>84,500</v>
      </c>
      <c r="P152" s="7" t="str">
        <f>"75,000"</f>
        <v>75,000</v>
      </c>
      <c r="Q152" s="7" t="str">
        <f>"22,750"</f>
        <v>22,750</v>
      </c>
      <c r="R152" s="1" t="str">
        <f t="shared" si="92"/>
        <v>2 X GE CF34-8C5</v>
      </c>
      <c r="S152" s="1"/>
      <c r="T152" s="1"/>
      <c r="U152" s="1">
        <f t="shared" si="86"/>
        <v>111.18421052631579</v>
      </c>
      <c r="V152" s="7" t="str">
        <f t="shared" si="93"/>
        <v>M 0.83</v>
      </c>
      <c r="W152" s="7" t="str">
        <f t="shared" si="94"/>
        <v>M 0.78</v>
      </c>
      <c r="X152" s="7" t="str">
        <f>"6,379"</f>
        <v>6,379</v>
      </c>
      <c r="Y152" s="7" t="str">
        <f>"5,321"</f>
        <v>5,321</v>
      </c>
      <c r="Z152" s="7" t="str">
        <f>"2,344"</f>
        <v>2,344</v>
      </c>
      <c r="AA152" s="1" t="str">
        <f>""</f>
        <v/>
      </c>
    </row>
    <row r="153" spans="1:27" ht="19.95" customHeight="1">
      <c r="A153" s="3" t="str">
        <f t="shared" si="82"/>
        <v>Bombardier Aerospace</v>
      </c>
      <c r="B153" s="4" t="str">
        <f t="shared" si="82"/>
        <v>Bombardier Aerospace</v>
      </c>
      <c r="C153" s="3" t="str">
        <f t="shared" si="83"/>
        <v>Dorval</v>
      </c>
      <c r="D153" s="3" t="str">
        <f t="shared" si="84"/>
        <v>Quebec</v>
      </c>
      <c r="E153" s="3" t="str">
        <f t="shared" si="85"/>
        <v>Canada</v>
      </c>
      <c r="F153" s="3" t="str">
        <f>"CRJ900"</f>
        <v>CRJ900</v>
      </c>
      <c r="G153" s="3" t="str">
        <f t="shared" si="87"/>
        <v>Narrow-Body Turbofans</v>
      </c>
      <c r="H153" s="8" t="str">
        <f t="shared" si="76"/>
        <v>2</v>
      </c>
      <c r="I153" s="8" t="str">
        <f>"86-90"</f>
        <v>86-90</v>
      </c>
      <c r="J153" s="8" t="str">
        <f t="shared" si="89"/>
        <v>81.5</v>
      </c>
      <c r="K153" s="8" t="str">
        <f t="shared" si="88"/>
        <v>760</v>
      </c>
      <c r="L153" s="8" t="str">
        <f>"118.9"</f>
        <v>118.9</v>
      </c>
      <c r="M153" s="8" t="str">
        <f t="shared" si="90"/>
        <v>24.6</v>
      </c>
      <c r="N153" s="8" t="str">
        <f t="shared" si="91"/>
        <v>47,250</v>
      </c>
      <c r="O153" s="8" t="str">
        <f>"80,500"</f>
        <v>80,500</v>
      </c>
      <c r="P153" s="8" t="str">
        <f>"73,500"</f>
        <v>73,500</v>
      </c>
      <c r="Q153" s="8" t="str">
        <f>"22,750"</f>
        <v>22,750</v>
      </c>
      <c r="R153" s="3" t="str">
        <f t="shared" si="92"/>
        <v>2 X GE CF34-8C5</v>
      </c>
      <c r="S153" s="3"/>
      <c r="T153" s="3"/>
      <c r="U153" s="1">
        <f t="shared" si="86"/>
        <v>105.92105263157895</v>
      </c>
      <c r="V153" s="8" t="str">
        <f t="shared" si="93"/>
        <v>M 0.83</v>
      </c>
      <c r="W153" s="8" t="str">
        <f t="shared" si="94"/>
        <v>M 0.78</v>
      </c>
      <c r="X153" s="8" t="str">
        <f>"5,833"</f>
        <v>5,833</v>
      </c>
      <c r="Y153" s="8" t="str">
        <f>"5,235"</f>
        <v>5,235</v>
      </c>
      <c r="Z153" s="8" t="str">
        <f>"1,501"</f>
        <v>1,501</v>
      </c>
      <c r="AA153" s="3" t="str">
        <f>"First delivery January 2003."</f>
        <v>First delivery January 2003.</v>
      </c>
    </row>
    <row r="154" spans="1:27" ht="19.95" customHeight="1">
      <c r="A154" s="1" t="str">
        <f t="shared" si="82"/>
        <v>Bombardier Aerospace</v>
      </c>
      <c r="B154" s="2" t="str">
        <f t="shared" si="82"/>
        <v>Bombardier Aerospace</v>
      </c>
      <c r="C154" s="1" t="str">
        <f t="shared" si="83"/>
        <v>Dorval</v>
      </c>
      <c r="D154" s="1" t="str">
        <f t="shared" si="84"/>
        <v>Quebec</v>
      </c>
      <c r="E154" s="1" t="str">
        <f t="shared" si="85"/>
        <v>Canada</v>
      </c>
      <c r="F154" s="1" t="str">
        <f>"CRJ900 ER"</f>
        <v>CRJ900 ER</v>
      </c>
      <c r="G154" s="1" t="str">
        <f t="shared" si="87"/>
        <v>Narrow-Body Turbofans</v>
      </c>
      <c r="H154" s="7" t="str">
        <f t="shared" si="76"/>
        <v>2</v>
      </c>
      <c r="I154" s="7" t="str">
        <f>"86-90"</f>
        <v>86-90</v>
      </c>
      <c r="J154" s="7" t="str">
        <f t="shared" si="89"/>
        <v>81.5</v>
      </c>
      <c r="K154" s="7" t="str">
        <f t="shared" si="88"/>
        <v>760</v>
      </c>
      <c r="L154" s="7" t="str">
        <f>"118.9"</f>
        <v>118.9</v>
      </c>
      <c r="M154" s="7" t="str">
        <f t="shared" si="90"/>
        <v>24.6</v>
      </c>
      <c r="N154" s="7" t="str">
        <f t="shared" si="91"/>
        <v>47,250</v>
      </c>
      <c r="O154" s="7" t="str">
        <f>"82,500"</f>
        <v>82,500</v>
      </c>
      <c r="P154" s="7" t="str">
        <f>"73,500"</f>
        <v>73,500</v>
      </c>
      <c r="Q154" s="7" t="str">
        <f>"22,750"</f>
        <v>22,750</v>
      </c>
      <c r="R154" s="1" t="str">
        <f t="shared" si="92"/>
        <v>2 X GE CF34-8C5</v>
      </c>
      <c r="S154" s="1"/>
      <c r="T154" s="1"/>
      <c r="U154" s="1">
        <f t="shared" si="86"/>
        <v>108.55263157894737</v>
      </c>
      <c r="V154" s="7" t="str">
        <f t="shared" si="93"/>
        <v>M 0.83</v>
      </c>
      <c r="W154" s="7" t="str">
        <f t="shared" si="94"/>
        <v>M 0.78</v>
      </c>
      <c r="X154" s="7" t="str">
        <f>"6,105"</f>
        <v>6,105</v>
      </c>
      <c r="Y154" s="7" t="str">
        <f>"5,235"</f>
        <v>5,235</v>
      </c>
      <c r="Z154" s="7" t="str">
        <f>"1,792"</f>
        <v>1,792</v>
      </c>
      <c r="AA154" s="1" t="str">
        <f>""</f>
        <v/>
      </c>
    </row>
    <row r="155" spans="1:27" ht="19.95" customHeight="1">
      <c r="A155" s="3" t="str">
        <f t="shared" si="82"/>
        <v>Bombardier Aerospace</v>
      </c>
      <c r="B155" s="4" t="str">
        <f t="shared" si="82"/>
        <v>Bombardier Aerospace</v>
      </c>
      <c r="C155" s="3" t="str">
        <f t="shared" si="83"/>
        <v>Dorval</v>
      </c>
      <c r="D155" s="3" t="str">
        <f t="shared" si="84"/>
        <v>Quebec</v>
      </c>
      <c r="E155" s="3" t="str">
        <f t="shared" si="85"/>
        <v>Canada</v>
      </c>
      <c r="F155" s="3" t="str">
        <f>"CRJ900 LR"</f>
        <v>CRJ900 LR</v>
      </c>
      <c r="G155" s="3" t="str">
        <f t="shared" si="87"/>
        <v>Narrow-Body Turbofans</v>
      </c>
      <c r="H155" s="8" t="str">
        <f t="shared" si="76"/>
        <v>2</v>
      </c>
      <c r="I155" s="8" t="str">
        <f>"86-90"</f>
        <v>86-90</v>
      </c>
      <c r="J155" s="8" t="str">
        <f t="shared" si="89"/>
        <v>81.5</v>
      </c>
      <c r="K155" s="8" t="str">
        <f t="shared" si="88"/>
        <v>760</v>
      </c>
      <c r="L155" s="8" t="str">
        <f>"118.9"</f>
        <v>118.9</v>
      </c>
      <c r="M155" s="8" t="str">
        <f t="shared" si="90"/>
        <v>24.6</v>
      </c>
      <c r="N155" s="8" t="str">
        <f t="shared" si="91"/>
        <v>47,250</v>
      </c>
      <c r="O155" s="8" t="str">
        <f>"84,500"</f>
        <v>84,500</v>
      </c>
      <c r="P155" s="8" t="str">
        <f>"75,000"</f>
        <v>75,000</v>
      </c>
      <c r="Q155" s="8" t="str">
        <f>"23,350"</f>
        <v>23,350</v>
      </c>
      <c r="R155" s="3" t="str">
        <f t="shared" si="92"/>
        <v>2 X GE CF34-8C5</v>
      </c>
      <c r="S155" s="3"/>
      <c r="T155" s="3"/>
      <c r="U155" s="1">
        <f t="shared" si="86"/>
        <v>111.18421052631579</v>
      </c>
      <c r="V155" s="8" t="str">
        <f t="shared" si="93"/>
        <v>M 0.83</v>
      </c>
      <c r="W155" s="8" t="str">
        <f t="shared" si="94"/>
        <v>M 0.78</v>
      </c>
      <c r="X155" s="8" t="str">
        <f>"6,379"</f>
        <v>6,379</v>
      </c>
      <c r="Y155" s="8" t="str">
        <f>"5,321"</f>
        <v>5,321</v>
      </c>
      <c r="Z155" s="8" t="str">
        <f>"2,076"</f>
        <v>2,076</v>
      </c>
      <c r="AA155" s="3" t="str">
        <f>""</f>
        <v/>
      </c>
    </row>
    <row r="156" spans="1:27" ht="19.95" customHeight="1">
      <c r="A156" s="1" t="str">
        <f t="shared" si="82"/>
        <v>Bombardier Aerospace</v>
      </c>
      <c r="B156" s="2" t="str">
        <f t="shared" si="82"/>
        <v>Bombardier Aerospace</v>
      </c>
      <c r="C156" s="1" t="str">
        <f t="shared" si="83"/>
        <v>Dorval</v>
      </c>
      <c r="D156" s="1" t="str">
        <f t="shared" si="84"/>
        <v>Quebec</v>
      </c>
      <c r="E156" s="1" t="str">
        <f t="shared" si="85"/>
        <v>Canada</v>
      </c>
      <c r="F156" s="1" t="str">
        <f>"CRJ900 NextGen"</f>
        <v>CRJ900 NextGen</v>
      </c>
      <c r="G156" s="1" t="str">
        <f t="shared" si="87"/>
        <v>Narrow-Body Turbofans</v>
      </c>
      <c r="H156" s="7" t="str">
        <f t="shared" si="76"/>
        <v>2</v>
      </c>
      <c r="I156" s="7" t="str">
        <f>"86-90"</f>
        <v>86-90</v>
      </c>
      <c r="J156" s="7" t="str">
        <f>"81.6"</f>
        <v>81.6</v>
      </c>
      <c r="K156" s="7" t="str">
        <f t="shared" si="88"/>
        <v>760</v>
      </c>
      <c r="L156" s="7" t="str">
        <f>"118.9"</f>
        <v>118.9</v>
      </c>
      <c r="M156" s="7" t="str">
        <f>"24.7"</f>
        <v>24.7</v>
      </c>
      <c r="N156" s="7" t="str">
        <f>""</f>
        <v/>
      </c>
      <c r="O156" s="7" t="str">
        <f>""</f>
        <v/>
      </c>
      <c r="P156" s="7" t="str">
        <f>"73,500"</f>
        <v>73,500</v>
      </c>
      <c r="Q156" s="7" t="str">
        <f>""</f>
        <v/>
      </c>
      <c r="R156" s="1" t="str">
        <f>"2 x GE CF34-8C5 turbofans"</f>
        <v>2 x GE CF34-8C5 turbofans</v>
      </c>
      <c r="S156" s="1"/>
      <c r="T156" s="1"/>
      <c r="U156" s="1" t="e">
        <f t="shared" si="86"/>
        <v>#VALUE!</v>
      </c>
      <c r="V156" s="7" t="str">
        <f>"548 mph"</f>
        <v>548 mph</v>
      </c>
      <c r="W156" s="7" t="str">
        <f>"515 mph"</f>
        <v>515 mph</v>
      </c>
      <c r="X156" s="7" t="str">
        <f>"5,833"</f>
        <v>5,833</v>
      </c>
      <c r="Y156" s="7" t="str">
        <f>"5,235"</f>
        <v>5,235</v>
      </c>
      <c r="Z156" s="7" t="str">
        <f>""</f>
        <v/>
      </c>
      <c r="AA156" s="1" t="str">
        <f>""</f>
        <v/>
      </c>
    </row>
    <row r="157" spans="1:27" ht="19.95" customHeight="1">
      <c r="A157" s="3" t="str">
        <f t="shared" si="82"/>
        <v>Bombardier Aerospace</v>
      </c>
      <c r="B157" s="4" t="str">
        <f t="shared" si="82"/>
        <v>Bombardier Aerospace</v>
      </c>
      <c r="C157" s="3" t="str">
        <f t="shared" si="83"/>
        <v>Dorval</v>
      </c>
      <c r="D157" s="3" t="str">
        <f t="shared" si="84"/>
        <v>Quebec</v>
      </c>
      <c r="E157" s="3" t="str">
        <f t="shared" si="85"/>
        <v>Canada</v>
      </c>
      <c r="F157" s="3" t="str">
        <f>"CS100"</f>
        <v>CS100</v>
      </c>
      <c r="G157" s="3" t="str">
        <f t="shared" si="87"/>
        <v>Narrow-Body Turbofans</v>
      </c>
      <c r="H157" s="8" t="str">
        <f t="shared" si="76"/>
        <v>2</v>
      </c>
      <c r="I157" s="8" t="str">
        <f>"100-125"</f>
        <v>100-125</v>
      </c>
      <c r="J157" s="8" t="str">
        <f>"115"</f>
        <v>115</v>
      </c>
      <c r="K157" s="8" t="str">
        <f>""</f>
        <v/>
      </c>
      <c r="L157" s="8" t="str">
        <f>"114"</f>
        <v>114</v>
      </c>
      <c r="M157" s="8" t="str">
        <f>"37.3"</f>
        <v>37.3</v>
      </c>
      <c r="N157" s="8" t="str">
        <f>""</f>
        <v/>
      </c>
      <c r="O157" s="8" t="str">
        <f>"120,700"</f>
        <v>120,700</v>
      </c>
      <c r="P157" s="8" t="str">
        <f>"110,000"</f>
        <v>110,000</v>
      </c>
      <c r="Q157" s="8" t="str">
        <f>"8,190"</f>
        <v>8,190</v>
      </c>
      <c r="R157" s="3" t="str">
        <f>""</f>
        <v/>
      </c>
      <c r="S157" s="3"/>
      <c r="T157" s="3"/>
      <c r="U157" s="1" t="e">
        <f t="shared" si="86"/>
        <v>#VALUE!</v>
      </c>
      <c r="V157" s="8" t="str">
        <f>"541"</f>
        <v>541</v>
      </c>
      <c r="W157" s="8" t="str">
        <f>"M 0.78"</f>
        <v>M 0.78</v>
      </c>
      <c r="X157" s="8" t="str">
        <f>""</f>
        <v/>
      </c>
      <c r="Y157" s="8" t="str">
        <f>""</f>
        <v/>
      </c>
      <c r="Z157" s="8" t="str">
        <f>"2,526"</f>
        <v>2,526</v>
      </c>
      <c r="AA157" s="3" t="str">
        <f>"In development."</f>
        <v>In development.</v>
      </c>
    </row>
    <row r="158" spans="1:27" ht="19.95" customHeight="1">
      <c r="A158" s="1" t="str">
        <f t="shared" si="82"/>
        <v>Bombardier Aerospace</v>
      </c>
      <c r="B158" s="2" t="str">
        <f t="shared" si="82"/>
        <v>Bombardier Aerospace</v>
      </c>
      <c r="C158" s="1" t="str">
        <f t="shared" si="83"/>
        <v>Dorval</v>
      </c>
      <c r="D158" s="1" t="str">
        <f t="shared" si="84"/>
        <v>Quebec</v>
      </c>
      <c r="E158" s="1" t="str">
        <f t="shared" si="85"/>
        <v>Canada</v>
      </c>
      <c r="F158" s="1" t="str">
        <f>"CS300"</f>
        <v>CS300</v>
      </c>
      <c r="G158" s="1" t="str">
        <f t="shared" si="87"/>
        <v>Narrow-Body Turbofans</v>
      </c>
      <c r="H158" s="7" t="str">
        <f t="shared" si="76"/>
        <v>2</v>
      </c>
      <c r="I158" s="7" t="str">
        <f>"120-149"</f>
        <v>120-149</v>
      </c>
      <c r="J158" s="7" t="str">
        <f>"115"</f>
        <v>115</v>
      </c>
      <c r="K158" s="7" t="str">
        <f>""</f>
        <v/>
      </c>
      <c r="L158" s="7" t="str">
        <f>"125"</f>
        <v>125</v>
      </c>
      <c r="M158" s="7" t="str">
        <f>"37.3"</f>
        <v>37.3</v>
      </c>
      <c r="N158" s="7" t="str">
        <f>""</f>
        <v/>
      </c>
      <c r="O158" s="7" t="str">
        <f>"131,300"</f>
        <v>131,300</v>
      </c>
      <c r="P158" s="7" t="str">
        <f>"120,000"</f>
        <v>120,000</v>
      </c>
      <c r="Q158" s="7" t="str">
        <f>"10,580"</f>
        <v>10,580</v>
      </c>
      <c r="R158" s="1" t="str">
        <f>""</f>
        <v/>
      </c>
      <c r="S158" s="1"/>
      <c r="T158" s="1"/>
      <c r="U158" s="1" t="e">
        <f t="shared" si="86"/>
        <v>#VALUE!</v>
      </c>
      <c r="V158" s="7" t="str">
        <f>"541"</f>
        <v>541</v>
      </c>
      <c r="W158" s="7" t="str">
        <f>"M 0.78"</f>
        <v>M 0.78</v>
      </c>
      <c r="X158" s="7" t="str">
        <f>""</f>
        <v/>
      </c>
      <c r="Y158" s="7" t="str">
        <f>""</f>
        <v/>
      </c>
      <c r="Z158" s="7" t="str">
        <f>"2,526"</f>
        <v>2,526</v>
      </c>
      <c r="AA158" s="1" t="str">
        <f>"In development."</f>
        <v>In development.</v>
      </c>
    </row>
    <row r="159" spans="1:27" ht="19.95" customHeight="1">
      <c r="A159" s="3" t="str">
        <f>"Bombardier Aerospace-Belfast"</f>
        <v>Bombardier Aerospace-Belfast</v>
      </c>
      <c r="B159" s="4" t="str">
        <f>"Bombardier Aerospace-Belfast"</f>
        <v>Bombardier Aerospace-Belfast</v>
      </c>
      <c r="C159" s="3" t="str">
        <f>"Belfast"</f>
        <v>Belfast</v>
      </c>
      <c r="D159" s="3" t="str">
        <f>""</f>
        <v/>
      </c>
      <c r="E159" s="3" t="str">
        <f>"Northern Ireland"</f>
        <v>Northern Ireland</v>
      </c>
      <c r="F159" s="3" t="str">
        <f>"SD3-30"</f>
        <v>SD3-30</v>
      </c>
      <c r="G159" s="3" t="str">
        <f>"Turboprops"</f>
        <v>Turboprops</v>
      </c>
      <c r="H159" s="8" t="str">
        <f>"3"</f>
        <v>3</v>
      </c>
      <c r="I159" s="8" t="str">
        <f>"30"</f>
        <v>30</v>
      </c>
      <c r="J159" s="8" t="str">
        <f>"74.8"</f>
        <v>74.8</v>
      </c>
      <c r="K159" s="8" t="str">
        <f>"453"</f>
        <v>453</v>
      </c>
      <c r="L159" s="8" t="str">
        <f>"58"</f>
        <v>58</v>
      </c>
      <c r="M159" s="8" t="str">
        <f>"16.3"</f>
        <v>16.3</v>
      </c>
      <c r="N159" s="8" t="str">
        <f>"13,000"</f>
        <v>13,000</v>
      </c>
      <c r="O159" s="8" t="str">
        <f>"22,900"</f>
        <v>22,900</v>
      </c>
      <c r="P159" s="8" t="str">
        <f>"22,600"</f>
        <v>22,600</v>
      </c>
      <c r="Q159" s="8" t="str">
        <f>"7,500"</f>
        <v>7,500</v>
      </c>
      <c r="R159" s="3" t="str">
        <f>"2 X Pratt &amp; Whitney Canada PT6A-45R"</f>
        <v>2 X Pratt &amp; Whitney Canada PT6A-45R</v>
      </c>
      <c r="S159" s="3"/>
      <c r="T159" s="3"/>
      <c r="U159" s="1">
        <f t="shared" si="86"/>
        <v>50.551876379690952</v>
      </c>
      <c r="V159" s="8" t="str">
        <f>"222"</f>
        <v>222</v>
      </c>
      <c r="W159" s="8" t="str">
        <f>"182"</f>
        <v>182</v>
      </c>
      <c r="X159" s="8" t="str">
        <f>"3,800"</f>
        <v>3,800</v>
      </c>
      <c r="Y159" s="8" t="str">
        <f>"3,950"</f>
        <v>3,950</v>
      </c>
      <c r="Z159" s="8" t="str">
        <f>"1,053"</f>
        <v>1,053</v>
      </c>
      <c r="AA159" s="3" t="str">
        <f>"Out of production."</f>
        <v>Out of production.</v>
      </c>
    </row>
    <row r="160" spans="1:27" ht="19.95" customHeight="1">
      <c r="A160" s="1" t="str">
        <f>"Bombardier Aerospace-Belfast"</f>
        <v>Bombardier Aerospace-Belfast</v>
      </c>
      <c r="B160" s="2" t="str">
        <f>"Bombardier Aerospace-Belfast"</f>
        <v>Bombardier Aerospace-Belfast</v>
      </c>
      <c r="C160" s="1" t="str">
        <f>"Belfast"</f>
        <v>Belfast</v>
      </c>
      <c r="D160" s="1" t="str">
        <f>""</f>
        <v/>
      </c>
      <c r="E160" s="1" t="str">
        <f>"Northern Ireland"</f>
        <v>Northern Ireland</v>
      </c>
      <c r="F160" s="1" t="str">
        <f>"SD3-60 300"</f>
        <v>SD3-60 300</v>
      </c>
      <c r="G160" s="1" t="str">
        <f>"Turboprops"</f>
        <v>Turboprops</v>
      </c>
      <c r="H160" s="7" t="str">
        <f>"3"</f>
        <v>3</v>
      </c>
      <c r="I160" s="7" t="str">
        <f>"36-39"</f>
        <v>36-39</v>
      </c>
      <c r="J160" s="7" t="str">
        <f>"75"</f>
        <v>75</v>
      </c>
      <c r="K160" s="7" t="str">
        <f>"453.3"</f>
        <v>453.3</v>
      </c>
      <c r="L160" s="7" t="str">
        <f>"71"</f>
        <v>71</v>
      </c>
      <c r="M160" s="7" t="str">
        <f>"23.8"</f>
        <v>23.8</v>
      </c>
      <c r="N160" s="7" t="str">
        <f>"16,200"</f>
        <v>16,200</v>
      </c>
      <c r="O160" s="7" t="str">
        <f>"27,100"</f>
        <v>27,100</v>
      </c>
      <c r="P160" s="7" t="str">
        <f>"26,500"</f>
        <v>26,500</v>
      </c>
      <c r="Q160" s="7" t="str">
        <f>"8,300"</f>
        <v>8,300</v>
      </c>
      <c r="R160" s="1" t="str">
        <f>"2 X Pratt &amp; Whitney Canada PT6A-67R"</f>
        <v>2 X Pratt &amp; Whitney Canada PT6A-67R</v>
      </c>
      <c r="S160" s="1"/>
      <c r="T160" s="1"/>
      <c r="U160" s="1">
        <f t="shared" si="86"/>
        <v>59.783807632914183</v>
      </c>
      <c r="V160" s="7" t="str">
        <f>"248"</f>
        <v>248</v>
      </c>
      <c r="W160" s="7" t="str">
        <f>"208"</f>
        <v>208</v>
      </c>
      <c r="X160" s="7" t="str">
        <f>"4,694"</f>
        <v>4,694</v>
      </c>
      <c r="Y160" s="7" t="str">
        <f>"4,232"</f>
        <v>4,232</v>
      </c>
      <c r="Z160" s="7" t="str">
        <f>"978"</f>
        <v>978</v>
      </c>
      <c r="AA160" s="1" t="str">
        <f>"Out of production."</f>
        <v>Out of production.</v>
      </c>
    </row>
    <row r="161" spans="1:27" ht="19.95" customHeight="1">
      <c r="A161" s="3" t="str">
        <f>"Commercial Aircraft Corp. of China Ltd."</f>
        <v>Commercial Aircraft Corp. of China Ltd.</v>
      </c>
      <c r="B161" s="4" t="str">
        <f>"Commercial Aircraft Corp. of China Ltd."</f>
        <v>Commercial Aircraft Corp. of China Ltd.</v>
      </c>
      <c r="C161" s="3" t="str">
        <f>"Shanghai"</f>
        <v>Shanghai</v>
      </c>
      <c r="D161" s="3" t="str">
        <f>""</f>
        <v/>
      </c>
      <c r="E161" s="3" t="str">
        <f>"China"</f>
        <v>China</v>
      </c>
      <c r="F161" s="3" t="str">
        <f>"ARJ21"</f>
        <v>ARJ21</v>
      </c>
      <c r="G161" s="3" t="str">
        <f>"Narrow-Body Turbofans"</f>
        <v>Narrow-Body Turbofans</v>
      </c>
      <c r="H161" s="8" t="str">
        <f>"2"</f>
        <v>2</v>
      </c>
      <c r="I161" s="8" t="str">
        <f>"78-85"</f>
        <v>78-85</v>
      </c>
      <c r="J161" s="8" t="str">
        <f>"90"</f>
        <v>90</v>
      </c>
      <c r="K161" s="8" t="str">
        <f>""</f>
        <v/>
      </c>
      <c r="L161" s="8" t="str">
        <f>"110"</f>
        <v>110</v>
      </c>
      <c r="M161" s="8" t="str">
        <f>""</f>
        <v/>
      </c>
      <c r="N161" s="8" t="str">
        <f>"55,000"</f>
        <v>55,000</v>
      </c>
      <c r="O161" s="8" t="str">
        <f>"96,000"</f>
        <v>96,000</v>
      </c>
      <c r="P161" s="8" t="str">
        <f>""</f>
        <v/>
      </c>
      <c r="Q161" s="8" t="str">
        <f>""</f>
        <v/>
      </c>
      <c r="R161" s="3" t="str">
        <f>"2 X GE CF34-10A"</f>
        <v>2 X GE CF34-10A</v>
      </c>
      <c r="S161" s="3"/>
      <c r="T161" s="3"/>
      <c r="U161" s="1" t="e">
        <f t="shared" si="86"/>
        <v>#VALUE!</v>
      </c>
      <c r="V161" s="8" t="str">
        <f>""</f>
        <v/>
      </c>
      <c r="W161" s="8" t="str">
        <f>""</f>
        <v/>
      </c>
      <c r="X161" s="8" t="str">
        <f>""</f>
        <v/>
      </c>
      <c r="Y161" s="8" t="str">
        <f>""</f>
        <v/>
      </c>
      <c r="Z161" s="8" t="str">
        <f>""</f>
        <v/>
      </c>
      <c r="AA161" s="3" t="str">
        <f>"Entry into service 2010."</f>
        <v>Entry into service 2010.</v>
      </c>
    </row>
    <row r="162" spans="1:27" ht="19.95" customHeight="1">
      <c r="A162" s="1" t="str">
        <f>"Commercial Aircraft Corp. of China Ltd."</f>
        <v>Commercial Aircraft Corp. of China Ltd.</v>
      </c>
      <c r="B162" s="2" t="str">
        <f>"Commercial Aircraft Corp. of China Ltd."</f>
        <v>Commercial Aircraft Corp. of China Ltd.</v>
      </c>
      <c r="C162" s="1" t="str">
        <f>"Shanghai"</f>
        <v>Shanghai</v>
      </c>
      <c r="D162" s="1" t="str">
        <f>""</f>
        <v/>
      </c>
      <c r="E162" s="1" t="str">
        <f>"China"</f>
        <v>China</v>
      </c>
      <c r="F162" s="1" t="str">
        <f>"C919"</f>
        <v>C919</v>
      </c>
      <c r="G162" s="1" t="str">
        <f>"Narrow-Body Turbofans"</f>
        <v>Narrow-Body Turbofans</v>
      </c>
      <c r="H162" s="7" t="str">
        <f>""</f>
        <v/>
      </c>
      <c r="I162" s="7" t="str">
        <f>"156-168"</f>
        <v>156-168</v>
      </c>
      <c r="J162" s="7" t="str">
        <f>"117.5"</f>
        <v>117.5</v>
      </c>
      <c r="K162" s="7" t="str">
        <f>""</f>
        <v/>
      </c>
      <c r="L162" s="7" t="str">
        <f>"127.6"</f>
        <v>127.6</v>
      </c>
      <c r="M162" s="7" t="str">
        <f>"39.2"</f>
        <v>39.2</v>
      </c>
      <c r="N162" s="7" t="str">
        <f>"92814.6"</f>
        <v>92814.6</v>
      </c>
      <c r="O162" s="7" t="str">
        <f>"170,400"</f>
        <v>170,400</v>
      </c>
      <c r="P162" s="7" t="str">
        <f>""</f>
        <v/>
      </c>
      <c r="Q162" s="7" t="str">
        <f>""</f>
        <v/>
      </c>
      <c r="R162" s="1" t="str">
        <f>""</f>
        <v/>
      </c>
      <c r="S162" s="1"/>
      <c r="T162" s="1"/>
      <c r="U162" s="1" t="e">
        <f t="shared" si="86"/>
        <v>#VALUE!</v>
      </c>
      <c r="V162" s="7" t="str">
        <f>""</f>
        <v/>
      </c>
      <c r="W162" s="7" t="str">
        <f>""</f>
        <v/>
      </c>
      <c r="X162" s="7" t="str">
        <f>"7217"</f>
        <v>7217</v>
      </c>
      <c r="Y162" s="7" t="str">
        <f>"5249.3"</f>
        <v>5249.3</v>
      </c>
      <c r="Z162" s="7" t="str">
        <f>""</f>
        <v/>
      </c>
      <c r="AA162" s="1" t="str">
        <f>""</f>
        <v/>
      </c>
    </row>
    <row r="163" spans="1:27" ht="19.95" customHeight="1">
      <c r="A163" s="3" t="str">
        <f t="shared" ref="A163:B184" si="95">"Embraer S.A."</f>
        <v>Embraer S.A.</v>
      </c>
      <c r="B163" s="4" t="str">
        <f t="shared" si="95"/>
        <v>Embraer S.A.</v>
      </c>
      <c r="C163" s="3" t="str">
        <f t="shared" ref="C163:C184" si="96">"Sao Jose dos Campos"</f>
        <v>Sao Jose dos Campos</v>
      </c>
      <c r="D163" s="3" t="str">
        <f t="shared" ref="D163:D184" si="97">"SP"</f>
        <v>SP</v>
      </c>
      <c r="E163" s="3" t="str">
        <f t="shared" ref="E163:E184" si="98">"Brazil"</f>
        <v>Brazil</v>
      </c>
      <c r="F163" s="3" t="str">
        <f>"EMB-110P1 Bandeirante"</f>
        <v>EMB-110P1 Bandeirante</v>
      </c>
      <c r="G163" s="3" t="str">
        <f>"Turboprops"</f>
        <v>Turboprops</v>
      </c>
      <c r="H163" s="8" t="str">
        <f>"1/2"</f>
        <v>1/2</v>
      </c>
      <c r="I163" s="8" t="str">
        <f>"19"</f>
        <v>19</v>
      </c>
      <c r="J163" s="8" t="str">
        <f>"50.3"</f>
        <v>50.3</v>
      </c>
      <c r="K163" s="8" t="str">
        <f>"313"</f>
        <v>313</v>
      </c>
      <c r="L163" s="8" t="str">
        <f>"49.6"</f>
        <v>49.6</v>
      </c>
      <c r="M163" s="8" t="str">
        <f>"16.5"</f>
        <v>16.5</v>
      </c>
      <c r="N163" s="8" t="str">
        <f>"7,857"</f>
        <v>7,857</v>
      </c>
      <c r="O163" s="8" t="str">
        <f>"12,500"</f>
        <v>12,500</v>
      </c>
      <c r="P163" s="8" t="str">
        <f>"12,015"</f>
        <v>12,015</v>
      </c>
      <c r="Q163" s="8" t="str">
        <f>"705"</f>
        <v>705</v>
      </c>
      <c r="R163" s="3" t="str">
        <f>"2 X Pratt &amp; Whitney Canada PT6A-27/-34"</f>
        <v>2 X Pratt &amp; Whitney Canada PT6A-27/-34</v>
      </c>
      <c r="S163" s="3"/>
      <c r="T163" s="3"/>
      <c r="U163" s="1">
        <f t="shared" si="86"/>
        <v>39.936102236421725</v>
      </c>
      <c r="V163" s="8" t="str">
        <f>"225"</f>
        <v>225</v>
      </c>
      <c r="W163" s="8" t="str">
        <f>"176"</f>
        <v>176</v>
      </c>
      <c r="X163" s="8" t="str">
        <f>"1,414"</f>
        <v>1,414</v>
      </c>
      <c r="Y163" s="8" t="str">
        <f>"1,854"</f>
        <v>1,854</v>
      </c>
      <c r="Z163" s="8" t="str">
        <f>"1,025"</f>
        <v>1,025</v>
      </c>
      <c r="AA163" s="3" t="str">
        <f>"Out of production since 1992. 497 delivered."</f>
        <v>Out of production since 1992. 497 delivered.</v>
      </c>
    </row>
    <row r="164" spans="1:27" ht="19.95" customHeight="1">
      <c r="A164" s="1" t="str">
        <f t="shared" si="95"/>
        <v>Embraer S.A.</v>
      </c>
      <c r="B164" s="2" t="str">
        <f t="shared" si="95"/>
        <v>Embraer S.A.</v>
      </c>
      <c r="C164" s="1" t="str">
        <f t="shared" si="96"/>
        <v>Sao Jose dos Campos</v>
      </c>
      <c r="D164" s="1" t="str">
        <f t="shared" si="97"/>
        <v>SP</v>
      </c>
      <c r="E164" s="1" t="str">
        <f t="shared" si="98"/>
        <v>Brazil</v>
      </c>
      <c r="F164" s="1" t="str">
        <f>"EMB-120ER/RT Brasilia"</f>
        <v>EMB-120ER/RT Brasilia</v>
      </c>
      <c r="G164" s="1" t="str">
        <f>"Turboprops"</f>
        <v>Turboprops</v>
      </c>
      <c r="H164" s="7" t="str">
        <f>"3"</f>
        <v>3</v>
      </c>
      <c r="I164" s="7" t="str">
        <f>"30"</f>
        <v>30</v>
      </c>
      <c r="J164" s="7" t="str">
        <f>"64.9"</f>
        <v>64.9</v>
      </c>
      <c r="K164" s="7" t="str">
        <f>"424"</f>
        <v>424</v>
      </c>
      <c r="L164" s="7" t="str">
        <f>"65.6"</f>
        <v>65.6</v>
      </c>
      <c r="M164" s="7" t="str">
        <f>"21.8"</f>
        <v>21.8</v>
      </c>
      <c r="N164" s="7" t="str">
        <f>"16,715"</f>
        <v>16,715</v>
      </c>
      <c r="O164" s="7" t="str">
        <f>"26,433"</f>
        <v>26,433</v>
      </c>
      <c r="P164" s="7" t="str">
        <f>"25,794"</f>
        <v>25,794</v>
      </c>
      <c r="Q164" s="7" t="str">
        <f>"1,543"</f>
        <v>1,543</v>
      </c>
      <c r="R164" s="1" t="str">
        <f>"2 X Pratt &amp; Whitney Canada PW118A/B"</f>
        <v>2 X Pratt &amp; Whitney Canada PW118A/B</v>
      </c>
      <c r="S164" s="1"/>
      <c r="T164" s="1"/>
      <c r="U164" s="1">
        <f t="shared" si="86"/>
        <v>62.341981132075475</v>
      </c>
      <c r="V164" s="7" t="str">
        <f>"300"</f>
        <v>300</v>
      </c>
      <c r="W164" s="7" t="str">
        <f>"300"</f>
        <v>300</v>
      </c>
      <c r="X164" s="7" t="str">
        <f>"5,105"</f>
        <v>5,105</v>
      </c>
      <c r="Y164" s="7" t="str">
        <f>"4,527"</f>
        <v>4,527</v>
      </c>
      <c r="Z164" s="7" t="str">
        <f>"900"</f>
        <v>900</v>
      </c>
      <c r="AA164" s="1" t="str">
        <f>"Out of production since 2004. 358 delivered."</f>
        <v>Out of production since 2004. 358 delivered.</v>
      </c>
    </row>
    <row r="165" spans="1:27" ht="19.95" customHeight="1">
      <c r="A165" s="3" t="str">
        <f t="shared" si="95"/>
        <v>Embraer S.A.</v>
      </c>
      <c r="B165" s="4" t="str">
        <f t="shared" si="95"/>
        <v>Embraer S.A.</v>
      </c>
      <c r="C165" s="3" t="str">
        <f t="shared" si="96"/>
        <v>Sao Jose dos Campos</v>
      </c>
      <c r="D165" s="3" t="str">
        <f t="shared" si="97"/>
        <v>SP</v>
      </c>
      <c r="E165" s="3" t="str">
        <f t="shared" si="98"/>
        <v>Brazil</v>
      </c>
      <c r="F165" s="3" t="str">
        <f>"EMB-120FC Brasilia (Full cargo version)"</f>
        <v>EMB-120FC Brasilia (Full cargo version)</v>
      </c>
      <c r="G165" s="3" t="str">
        <f>"Turboprops"</f>
        <v>Turboprops</v>
      </c>
      <c r="H165" s="8" t="str">
        <f>"2"</f>
        <v>2</v>
      </c>
      <c r="I165" s="8" t="str">
        <f>"0"</f>
        <v>0</v>
      </c>
      <c r="J165" s="8" t="str">
        <f>"64.9"</f>
        <v>64.9</v>
      </c>
      <c r="K165" s="8" t="str">
        <f>"424"</f>
        <v>424</v>
      </c>
      <c r="L165" s="8" t="str">
        <f>"65.6"</f>
        <v>65.6</v>
      </c>
      <c r="M165" s="8" t="str">
        <f>"21.8"</f>
        <v>21.8</v>
      </c>
      <c r="N165" s="8" t="str">
        <f>"15,873"</f>
        <v>15,873</v>
      </c>
      <c r="O165" s="8" t="str">
        <f>"26,433"</f>
        <v>26,433</v>
      </c>
      <c r="P165" s="8" t="str">
        <f>"25,794"</f>
        <v>25,794</v>
      </c>
      <c r="Q165" s="8" t="str">
        <f>"8,157"</f>
        <v>8,157</v>
      </c>
      <c r="R165" s="3" t="str">
        <f>"2 X Pratt &amp; Whitney Canada PW118A/B"</f>
        <v>2 X Pratt &amp; Whitney Canada PW118A/B</v>
      </c>
      <c r="S165" s="3"/>
      <c r="T165" s="3"/>
      <c r="U165" s="1">
        <f t="shared" si="86"/>
        <v>62.341981132075475</v>
      </c>
      <c r="V165" s="8" t="str">
        <f>"300"</f>
        <v>300</v>
      </c>
      <c r="W165" s="8" t="str">
        <f>"300"</f>
        <v>300</v>
      </c>
      <c r="X165" s="8" t="str">
        <f>"5,105"</f>
        <v>5,105</v>
      </c>
      <c r="Y165" s="8" t="str">
        <f>"4,527"</f>
        <v>4,527</v>
      </c>
      <c r="Z165" s="8" t="str">
        <f>"935"</f>
        <v>935</v>
      </c>
      <c r="AA165" s="3" t="str">
        <f>"Out of production since 2004. 120ER convertible to 120FC."</f>
        <v>Out of production since 2004. 120ER convertible to 120FC.</v>
      </c>
    </row>
    <row r="166" spans="1:27" ht="19.95" customHeight="1">
      <c r="A166" s="1" t="str">
        <f t="shared" si="95"/>
        <v>Embraer S.A.</v>
      </c>
      <c r="B166" s="2" t="str">
        <f t="shared" si="95"/>
        <v>Embraer S.A.</v>
      </c>
      <c r="C166" s="1" t="str">
        <f t="shared" si="96"/>
        <v>Sao Jose dos Campos</v>
      </c>
      <c r="D166" s="1" t="str">
        <f t="shared" si="97"/>
        <v>SP</v>
      </c>
      <c r="E166" s="1" t="str">
        <f t="shared" si="98"/>
        <v>Brazil</v>
      </c>
      <c r="F166" s="1" t="str">
        <f>"ERJ 135 ER"</f>
        <v>ERJ 135 ER</v>
      </c>
      <c r="G166" s="1" t="str">
        <f t="shared" ref="G166:G184" si="99">"Narrow-Body Turbofans"</f>
        <v>Narrow-Body Turbofans</v>
      </c>
      <c r="H166" s="7" t="str">
        <f t="shared" ref="H166:H172" si="100">"3"</f>
        <v>3</v>
      </c>
      <c r="I166" s="7" t="str">
        <f>"36-37"</f>
        <v>36-37</v>
      </c>
      <c r="J166" s="7" t="str">
        <f t="shared" ref="J166:J171" si="101">"65.8"</f>
        <v>65.8</v>
      </c>
      <c r="K166" s="7" t="str">
        <f t="shared" ref="K166:K172" si="102">"551"</f>
        <v>551</v>
      </c>
      <c r="L166" s="7" t="str">
        <f>"86.4"</f>
        <v>86.4</v>
      </c>
      <c r="M166" s="7" t="str">
        <f t="shared" ref="M166:M172" si="103">"22.2"</f>
        <v>22.2</v>
      </c>
      <c r="N166" s="7" t="str">
        <f>"25,137"</f>
        <v>25,137</v>
      </c>
      <c r="O166" s="7" t="str">
        <f>"41,888"</f>
        <v>41,888</v>
      </c>
      <c r="P166" s="7" t="str">
        <f>"40,786"</f>
        <v>40,786</v>
      </c>
      <c r="Q166" s="7" t="str">
        <f>"2,205"</f>
        <v>2,205</v>
      </c>
      <c r="R166" s="1" t="str">
        <f>"2 X Rolls-Royce AE3007-A3 or -A1/3"</f>
        <v>2 X Rolls-Royce AE3007-A3 or -A1/3</v>
      </c>
      <c r="S166" s="1"/>
      <c r="T166" s="1"/>
      <c r="U166" s="1">
        <f t="shared" si="86"/>
        <v>76.02177858439201</v>
      </c>
      <c r="V166" s="7" t="str">
        <f t="shared" ref="V166:V171" si="104">"M 0.78"</f>
        <v>M 0.78</v>
      </c>
      <c r="W166" s="7" t="str">
        <f t="shared" ref="W166:W171" si="105">"M 0.76"</f>
        <v>M 0.76</v>
      </c>
      <c r="X166" s="7" t="str">
        <f>"5,381"</f>
        <v>5,381</v>
      </c>
      <c r="Y166" s="7" t="str">
        <f>"4,462"</f>
        <v>4,462</v>
      </c>
      <c r="Z166" s="7" t="str">
        <f>"1,500"</f>
        <v>1,500</v>
      </c>
      <c r="AA166" s="1" t="str">
        <f t="shared" ref="AA166:AA172" si="106">"In service."</f>
        <v>In service.</v>
      </c>
    </row>
    <row r="167" spans="1:27" ht="19.95" customHeight="1">
      <c r="A167" s="3" t="str">
        <f t="shared" si="95"/>
        <v>Embraer S.A.</v>
      </c>
      <c r="B167" s="4" t="str">
        <f t="shared" si="95"/>
        <v>Embraer S.A.</v>
      </c>
      <c r="C167" s="3" t="str">
        <f t="shared" si="96"/>
        <v>Sao Jose dos Campos</v>
      </c>
      <c r="D167" s="3" t="str">
        <f t="shared" si="97"/>
        <v>SP</v>
      </c>
      <c r="E167" s="3" t="str">
        <f t="shared" si="98"/>
        <v>Brazil</v>
      </c>
      <c r="F167" s="3" t="str">
        <f>"ERJ 135 LR"</f>
        <v>ERJ 135 LR</v>
      </c>
      <c r="G167" s="3" t="str">
        <f t="shared" si="99"/>
        <v>Narrow-Body Turbofans</v>
      </c>
      <c r="H167" s="8" t="str">
        <f t="shared" si="100"/>
        <v>3</v>
      </c>
      <c r="I167" s="8" t="str">
        <f>"36-37"</f>
        <v>36-37</v>
      </c>
      <c r="J167" s="8" t="str">
        <f t="shared" si="101"/>
        <v>65.8</v>
      </c>
      <c r="K167" s="8" t="str">
        <f t="shared" si="102"/>
        <v>551</v>
      </c>
      <c r="L167" s="8" t="str">
        <f>"86.4"</f>
        <v>86.4</v>
      </c>
      <c r="M167" s="8" t="str">
        <f t="shared" si="103"/>
        <v>22.2</v>
      </c>
      <c r="N167" s="8" t="str">
        <f>"25,355"</f>
        <v>25,355</v>
      </c>
      <c r="O167" s="8" t="str">
        <f>"44,092"</f>
        <v>44,092</v>
      </c>
      <c r="P167" s="8" t="str">
        <f>"40,786"</f>
        <v>40,786</v>
      </c>
      <c r="Q167" s="8" t="str">
        <f>"2,205"</f>
        <v>2,205</v>
      </c>
      <c r="R167" s="3" t="str">
        <f>"2 X Rolls-Royce AE3007-A1/3"</f>
        <v>2 X Rolls-Royce AE3007-A1/3</v>
      </c>
      <c r="S167" s="3"/>
      <c r="T167" s="3"/>
      <c r="U167" s="1">
        <f t="shared" si="86"/>
        <v>80.02177858439201</v>
      </c>
      <c r="V167" s="8" t="str">
        <f t="shared" si="104"/>
        <v>M 0.78</v>
      </c>
      <c r="W167" s="8" t="str">
        <f t="shared" si="105"/>
        <v>M 0.76</v>
      </c>
      <c r="X167" s="8" t="str">
        <f>"5,774"</f>
        <v>5,774</v>
      </c>
      <c r="Y167" s="8" t="str">
        <f>"4,462"</f>
        <v>4,462</v>
      </c>
      <c r="Z167" s="8" t="str">
        <f>"2,015"</f>
        <v>2,015</v>
      </c>
      <c r="AA167" s="3" t="str">
        <f t="shared" si="106"/>
        <v>In service.</v>
      </c>
    </row>
    <row r="168" spans="1:27" ht="19.95" customHeight="1">
      <c r="A168" s="1" t="str">
        <f t="shared" si="95"/>
        <v>Embraer S.A.</v>
      </c>
      <c r="B168" s="2" t="str">
        <f t="shared" si="95"/>
        <v>Embraer S.A.</v>
      </c>
      <c r="C168" s="1" t="str">
        <f t="shared" si="96"/>
        <v>Sao Jose dos Campos</v>
      </c>
      <c r="D168" s="1" t="str">
        <f t="shared" si="97"/>
        <v>SP</v>
      </c>
      <c r="E168" s="1" t="str">
        <f t="shared" si="98"/>
        <v>Brazil</v>
      </c>
      <c r="F168" s="1" t="str">
        <f>"ERJ 140 ER"</f>
        <v>ERJ 140 ER</v>
      </c>
      <c r="G168" s="1" t="str">
        <f t="shared" si="99"/>
        <v>Narrow-Body Turbofans</v>
      </c>
      <c r="H168" s="7" t="str">
        <f t="shared" si="100"/>
        <v>3</v>
      </c>
      <c r="I168" s="7" t="str">
        <f>"44"</f>
        <v>44</v>
      </c>
      <c r="J168" s="7" t="str">
        <f t="shared" si="101"/>
        <v>65.8</v>
      </c>
      <c r="K168" s="7" t="str">
        <f t="shared" si="102"/>
        <v>551</v>
      </c>
      <c r="L168" s="7" t="str">
        <f>"93.4"</f>
        <v>93.4</v>
      </c>
      <c r="M168" s="7" t="str">
        <f t="shared" si="103"/>
        <v>22.2</v>
      </c>
      <c r="N168" s="7" t="str">
        <f>"26,050"</f>
        <v>26,050</v>
      </c>
      <c r="O168" s="7" t="str">
        <f>"44,313"</f>
        <v>44,313</v>
      </c>
      <c r="P168" s="7" t="str">
        <f>"41,226"</f>
        <v>41,226</v>
      </c>
      <c r="Q168" s="7" t="str">
        <f>"2,646"</f>
        <v>2,646</v>
      </c>
      <c r="R168" s="1" t="str">
        <f>"2 X Rolls-Royce AE3007-A1/3"</f>
        <v>2 X Rolls-Royce AE3007-A1/3</v>
      </c>
      <c r="S168" s="1"/>
      <c r="T168" s="1"/>
      <c r="U168" s="1">
        <f t="shared" si="86"/>
        <v>80.422867513611621</v>
      </c>
      <c r="V168" s="7" t="str">
        <f t="shared" si="104"/>
        <v>M 0.78</v>
      </c>
      <c r="W168" s="7" t="str">
        <f t="shared" si="105"/>
        <v>M 0.76</v>
      </c>
      <c r="X168" s="7" t="str">
        <f>"5,184"</f>
        <v>5,184</v>
      </c>
      <c r="Y168" s="7" t="str">
        <f>"4,528"</f>
        <v>4,528</v>
      </c>
      <c r="Z168" s="7" t="str">
        <f>"1,440"</f>
        <v>1,440</v>
      </c>
      <c r="AA168" s="1" t="str">
        <f t="shared" si="106"/>
        <v>In service.</v>
      </c>
    </row>
    <row r="169" spans="1:27" ht="19.95" customHeight="1">
      <c r="A169" s="3" t="str">
        <f t="shared" si="95"/>
        <v>Embraer S.A.</v>
      </c>
      <c r="B169" s="4" t="str">
        <f t="shared" si="95"/>
        <v>Embraer S.A.</v>
      </c>
      <c r="C169" s="3" t="str">
        <f t="shared" si="96"/>
        <v>Sao Jose dos Campos</v>
      </c>
      <c r="D169" s="3" t="str">
        <f t="shared" si="97"/>
        <v>SP</v>
      </c>
      <c r="E169" s="3" t="str">
        <f t="shared" si="98"/>
        <v>Brazil</v>
      </c>
      <c r="F169" s="3" t="str">
        <f>"ERJ 140 LR"</f>
        <v>ERJ 140 LR</v>
      </c>
      <c r="G169" s="3" t="str">
        <f t="shared" si="99"/>
        <v>Narrow-Body Turbofans</v>
      </c>
      <c r="H169" s="8" t="str">
        <f t="shared" si="100"/>
        <v>3</v>
      </c>
      <c r="I169" s="8" t="str">
        <f>"44"</f>
        <v>44</v>
      </c>
      <c r="J169" s="8" t="str">
        <f t="shared" si="101"/>
        <v>65.8</v>
      </c>
      <c r="K169" s="8" t="str">
        <f t="shared" si="102"/>
        <v>551</v>
      </c>
      <c r="L169" s="8" t="str">
        <f>"93.4"</f>
        <v>93.4</v>
      </c>
      <c r="M169" s="8" t="str">
        <f t="shared" si="103"/>
        <v>22.2</v>
      </c>
      <c r="N169" s="8" t="str">
        <f>"26,032"</f>
        <v>26,032</v>
      </c>
      <c r="O169" s="8" t="str">
        <f>"44,518"</f>
        <v>44,518</v>
      </c>
      <c r="P169" s="8" t="str">
        <f>"41,226"</f>
        <v>41,226</v>
      </c>
      <c r="Q169" s="8" t="str">
        <f>"2,646"</f>
        <v>2,646</v>
      </c>
      <c r="R169" s="3" t="str">
        <f>"2 X Rolls-Royce AE3007-A1/3"</f>
        <v>2 X Rolls-Royce AE3007-A1/3</v>
      </c>
      <c r="S169" s="3"/>
      <c r="T169" s="3"/>
      <c r="U169" s="1">
        <f t="shared" si="86"/>
        <v>80.794918330308533</v>
      </c>
      <c r="V169" s="8" t="str">
        <f t="shared" si="104"/>
        <v>M 0.78</v>
      </c>
      <c r="W169" s="8" t="str">
        <f t="shared" si="105"/>
        <v>M 0.76</v>
      </c>
      <c r="X169" s="8" t="str">
        <f>"6,070"</f>
        <v>6,070</v>
      </c>
      <c r="Y169" s="8" t="str">
        <f>"4,528"</f>
        <v>4,528</v>
      </c>
      <c r="Z169" s="8" t="str">
        <f>"1,900"</f>
        <v>1,900</v>
      </c>
      <c r="AA169" s="3" t="str">
        <f t="shared" si="106"/>
        <v>In service.</v>
      </c>
    </row>
    <row r="170" spans="1:27" ht="19.95" customHeight="1">
      <c r="A170" s="1" t="str">
        <f t="shared" si="95"/>
        <v>Embraer S.A.</v>
      </c>
      <c r="B170" s="2" t="str">
        <f t="shared" si="95"/>
        <v>Embraer S.A.</v>
      </c>
      <c r="C170" s="1" t="str">
        <f t="shared" si="96"/>
        <v>Sao Jose dos Campos</v>
      </c>
      <c r="D170" s="1" t="str">
        <f t="shared" si="97"/>
        <v>SP</v>
      </c>
      <c r="E170" s="1" t="str">
        <f t="shared" si="98"/>
        <v>Brazil</v>
      </c>
      <c r="F170" s="1" t="str">
        <f>"ERJ 145 LR"</f>
        <v>ERJ 145 LR</v>
      </c>
      <c r="G170" s="1" t="str">
        <f t="shared" si="99"/>
        <v>Narrow-Body Turbofans</v>
      </c>
      <c r="H170" s="7" t="str">
        <f t="shared" si="100"/>
        <v>3</v>
      </c>
      <c r="I170" s="7" t="str">
        <f>"48-50"</f>
        <v>48-50</v>
      </c>
      <c r="J170" s="7" t="str">
        <f t="shared" si="101"/>
        <v>65.8</v>
      </c>
      <c r="K170" s="7" t="str">
        <f t="shared" si="102"/>
        <v>551</v>
      </c>
      <c r="L170" s="7" t="str">
        <f>"98"</f>
        <v>98</v>
      </c>
      <c r="M170" s="7" t="str">
        <f t="shared" si="103"/>
        <v>22.2</v>
      </c>
      <c r="N170" s="7" t="str">
        <f>"26,707"</f>
        <v>26,707</v>
      </c>
      <c r="O170" s="7" t="str">
        <f>"48,502"</f>
        <v>48,502</v>
      </c>
      <c r="P170" s="7" t="str">
        <f>"42,549"</f>
        <v>42,549</v>
      </c>
      <c r="Q170" s="7" t="str">
        <f>"2,646"</f>
        <v>2,646</v>
      </c>
      <c r="R170" s="1" t="str">
        <f>"2 X Rolls-Royce AE3007-A1 or -A1P"</f>
        <v>2 X Rolls-Royce AE3007-A1 or -A1P</v>
      </c>
      <c r="S170" s="1"/>
      <c r="T170" s="1"/>
      <c r="U170" s="1">
        <f t="shared" si="86"/>
        <v>88.025408348457347</v>
      </c>
      <c r="V170" s="7" t="str">
        <f t="shared" si="104"/>
        <v>M 0.78</v>
      </c>
      <c r="W170" s="7" t="str">
        <f t="shared" si="105"/>
        <v>M 0.76</v>
      </c>
      <c r="X170" s="7" t="str">
        <f>"7,448"</f>
        <v>7,448</v>
      </c>
      <c r="Y170" s="7" t="str">
        <f>"4,593"</f>
        <v>4,593</v>
      </c>
      <c r="Z170" s="7" t="str">
        <f>"1,780"</f>
        <v>1,780</v>
      </c>
      <c r="AA170" s="1" t="str">
        <f t="shared" si="106"/>
        <v>In service.</v>
      </c>
    </row>
    <row r="171" spans="1:27" ht="19.95" customHeight="1">
      <c r="A171" s="3" t="str">
        <f t="shared" si="95"/>
        <v>Embraer S.A.</v>
      </c>
      <c r="B171" s="4" t="str">
        <f t="shared" si="95"/>
        <v>Embraer S.A.</v>
      </c>
      <c r="C171" s="3" t="str">
        <f t="shared" si="96"/>
        <v>Sao Jose dos Campos</v>
      </c>
      <c r="D171" s="3" t="str">
        <f t="shared" si="97"/>
        <v>SP</v>
      </c>
      <c r="E171" s="3" t="str">
        <f t="shared" si="98"/>
        <v>Brazil</v>
      </c>
      <c r="F171" s="3" t="str">
        <f>"ERJ 145 MP"</f>
        <v>ERJ 145 MP</v>
      </c>
      <c r="G171" s="3" t="str">
        <f t="shared" si="99"/>
        <v>Narrow-Body Turbofans</v>
      </c>
      <c r="H171" s="8" t="str">
        <f t="shared" si="100"/>
        <v>3</v>
      </c>
      <c r="I171" s="8" t="str">
        <f>"48-50"</f>
        <v>48-50</v>
      </c>
      <c r="J171" s="8" t="str">
        <f t="shared" si="101"/>
        <v>65.8</v>
      </c>
      <c r="K171" s="8" t="str">
        <f t="shared" si="102"/>
        <v>551</v>
      </c>
      <c r="L171" s="8" t="str">
        <f>"98"</f>
        <v>98</v>
      </c>
      <c r="M171" s="8" t="str">
        <f t="shared" si="103"/>
        <v>22.2</v>
      </c>
      <c r="N171" s="8" t="str">
        <f>"26,539"</f>
        <v>26,539</v>
      </c>
      <c r="O171" s="8" t="str">
        <f>"46,275"</f>
        <v>46,275</v>
      </c>
      <c r="P171" s="8" t="str">
        <f>"42,549"</f>
        <v>42,549</v>
      </c>
      <c r="Q171" s="8" t="str">
        <f>"2,646"</f>
        <v>2,646</v>
      </c>
      <c r="R171" s="3" t="str">
        <f>"2 X Rolls-Royce AE3007-A1/1 or -A1"</f>
        <v>2 X Rolls-Royce AE3007-A1/1 or -A1</v>
      </c>
      <c r="S171" s="3"/>
      <c r="T171" s="3"/>
      <c r="U171" s="1">
        <f t="shared" si="86"/>
        <v>83.983666061705989</v>
      </c>
      <c r="V171" s="8" t="str">
        <f t="shared" si="104"/>
        <v>M 0.78</v>
      </c>
      <c r="W171" s="8" t="str">
        <f t="shared" si="105"/>
        <v>M 0.76</v>
      </c>
      <c r="X171" s="8" t="str">
        <f>"6,660"</f>
        <v>6,660</v>
      </c>
      <c r="Y171" s="8" t="str">
        <f>"4,593"</f>
        <v>4,593</v>
      </c>
      <c r="Z171" s="8" t="str">
        <f>"1,380"</f>
        <v>1,380</v>
      </c>
      <c r="AA171" s="3" t="str">
        <f t="shared" si="106"/>
        <v>In service.</v>
      </c>
    </row>
    <row r="172" spans="1:27" ht="19.95" customHeight="1">
      <c r="A172" s="1" t="str">
        <f t="shared" si="95"/>
        <v>Embraer S.A.</v>
      </c>
      <c r="B172" s="2" t="str">
        <f t="shared" si="95"/>
        <v>Embraer S.A.</v>
      </c>
      <c r="C172" s="1" t="str">
        <f t="shared" si="96"/>
        <v>Sao Jose dos Campos</v>
      </c>
      <c r="D172" s="1" t="str">
        <f t="shared" si="97"/>
        <v>SP</v>
      </c>
      <c r="E172" s="1" t="str">
        <f t="shared" si="98"/>
        <v>Brazil</v>
      </c>
      <c r="F172" s="1" t="str">
        <f>"ERJ 145 XR"</f>
        <v>ERJ 145 XR</v>
      </c>
      <c r="G172" s="1" t="str">
        <f t="shared" si="99"/>
        <v>Narrow-Body Turbofans</v>
      </c>
      <c r="H172" s="7" t="str">
        <f t="shared" si="100"/>
        <v>3</v>
      </c>
      <c r="I172" s="7" t="str">
        <f>"48-50"</f>
        <v>48-50</v>
      </c>
      <c r="J172" s="7" t="str">
        <f>"68.8"</f>
        <v>68.8</v>
      </c>
      <c r="K172" s="7" t="str">
        <f t="shared" si="102"/>
        <v>551</v>
      </c>
      <c r="L172" s="7" t="str">
        <f>"98"</f>
        <v>98</v>
      </c>
      <c r="M172" s="7" t="str">
        <f t="shared" si="103"/>
        <v>22.2</v>
      </c>
      <c r="N172" s="7" t="str">
        <f>"27,758"</f>
        <v>27,758</v>
      </c>
      <c r="O172" s="7" t="str">
        <f>"53,131"</f>
        <v>53,131</v>
      </c>
      <c r="P172" s="7" t="str">
        <f>"44,092"</f>
        <v>44,092</v>
      </c>
      <c r="Q172" s="7" t="str">
        <f>"2,646"</f>
        <v>2,646</v>
      </c>
      <c r="R172" s="1" t="str">
        <f>"2 X Rolls-Royce AE3007-A1E"</f>
        <v>2 X Rolls-Royce AE3007-A1E</v>
      </c>
      <c r="S172" s="1"/>
      <c r="T172" s="1"/>
      <c r="U172" s="1">
        <f t="shared" si="86"/>
        <v>96.426497277676944</v>
      </c>
      <c r="V172" s="7" t="str">
        <f>"M 0.80"</f>
        <v>M 0.80</v>
      </c>
      <c r="W172" s="7" t="str">
        <f t="shared" ref="W172:W184" si="107">"M 0.78"</f>
        <v>M 0.78</v>
      </c>
      <c r="X172" s="7" t="str">
        <f>"6,791"</f>
        <v>6,791</v>
      </c>
      <c r="Y172" s="7" t="str">
        <f>"4,692"</f>
        <v>4,692</v>
      </c>
      <c r="Z172" s="7" t="str">
        <f>"2,300"</f>
        <v>2,300</v>
      </c>
      <c r="AA172" s="1" t="str">
        <f t="shared" si="106"/>
        <v>In service.</v>
      </c>
    </row>
    <row r="173" spans="1:27" ht="19.95" customHeight="1">
      <c r="A173" s="3" t="str">
        <f t="shared" si="95"/>
        <v>Embraer S.A.</v>
      </c>
      <c r="B173" s="4" t="str">
        <f t="shared" si="95"/>
        <v>Embraer S.A.</v>
      </c>
      <c r="C173" s="3" t="str">
        <f t="shared" si="96"/>
        <v>Sao Jose dos Campos</v>
      </c>
      <c r="D173" s="3" t="str">
        <f t="shared" si="97"/>
        <v>SP</v>
      </c>
      <c r="E173" s="3" t="str">
        <f t="shared" si="98"/>
        <v>Brazil</v>
      </c>
      <c r="F173" s="3" t="str">
        <f>"Embraer 170 AR"</f>
        <v>Embraer 170 AR</v>
      </c>
      <c r="G173" s="3" t="str">
        <f t="shared" si="99"/>
        <v>Narrow-Body Turbofans</v>
      </c>
      <c r="H173" s="8" t="str">
        <f>"2"</f>
        <v>2</v>
      </c>
      <c r="I173" s="8" t="str">
        <f>"70-80"</f>
        <v>70-80</v>
      </c>
      <c r="J173" s="8" t="str">
        <f t="shared" ref="J173:J178" si="108">"85.3"</f>
        <v>85.3</v>
      </c>
      <c r="K173" s="8" t="str">
        <f t="shared" ref="K173:K178" si="109">"782.8"</f>
        <v>782.8</v>
      </c>
      <c r="L173" s="8" t="str">
        <f>"98.1"</f>
        <v>98.1</v>
      </c>
      <c r="M173" s="8" t="str">
        <f>"32.3"</f>
        <v>32.3</v>
      </c>
      <c r="N173" s="8" t="str">
        <f>"46,429"</f>
        <v>46,429</v>
      </c>
      <c r="O173" s="8" t="str">
        <f>"85,098"</f>
        <v>85,098</v>
      </c>
      <c r="P173" s="8" t="str">
        <f>"73,414"</f>
        <v>73,414</v>
      </c>
      <c r="Q173" s="8" t="str">
        <f>"5,291"</f>
        <v>5,291</v>
      </c>
      <c r="R173" s="3" t="str">
        <f t="shared" ref="R173:R178" si="110">"2 X GE CF34-8E"</f>
        <v>2 X GE CF34-8E</v>
      </c>
      <c r="S173" s="3"/>
      <c r="T173" s="3"/>
      <c r="U173" s="1">
        <f t="shared" si="86"/>
        <v>108.70975983648442</v>
      </c>
      <c r="V173" s="8" t="str">
        <f t="shared" ref="V173:V184" si="111">"M 0.82"</f>
        <v>M 0.82</v>
      </c>
      <c r="W173" s="8" t="str">
        <f t="shared" si="107"/>
        <v>M 0.78</v>
      </c>
      <c r="X173" s="8" t="str">
        <f>"5,394"</f>
        <v>5,394</v>
      </c>
      <c r="Y173" s="8" t="str">
        <f>"4,180"</f>
        <v>4,180</v>
      </c>
      <c r="Z173" s="8" t="str">
        <f>"2,416"</f>
        <v>2,416</v>
      </c>
      <c r="AA173" s="3" t="str">
        <f>"Entry into service 4th quarter 2008."</f>
        <v>Entry into service 4th quarter 2008.</v>
      </c>
    </row>
    <row r="174" spans="1:27" ht="19.95" customHeight="1">
      <c r="A174" s="1" t="str">
        <f t="shared" si="95"/>
        <v>Embraer S.A.</v>
      </c>
      <c r="B174" s="2" t="str">
        <f t="shared" si="95"/>
        <v>Embraer S.A.</v>
      </c>
      <c r="C174" s="1" t="str">
        <f t="shared" si="96"/>
        <v>Sao Jose dos Campos</v>
      </c>
      <c r="D174" s="1" t="str">
        <f t="shared" si="97"/>
        <v>SP</v>
      </c>
      <c r="E174" s="1" t="str">
        <f t="shared" si="98"/>
        <v>Brazil</v>
      </c>
      <c r="F174" s="1" t="str">
        <f>"Embraer 170 LR"</f>
        <v>Embraer 170 LR</v>
      </c>
      <c r="G174" s="1" t="str">
        <f t="shared" si="99"/>
        <v>Narrow-Body Turbofans</v>
      </c>
      <c r="H174" s="7" t="str">
        <f>"2"</f>
        <v>2</v>
      </c>
      <c r="I174" s="7" t="str">
        <f>"70-80"</f>
        <v>70-80</v>
      </c>
      <c r="J174" s="7" t="str">
        <f t="shared" si="108"/>
        <v>85.3</v>
      </c>
      <c r="K174" s="7" t="str">
        <f t="shared" si="109"/>
        <v>782.8</v>
      </c>
      <c r="L174" s="7" t="str">
        <f>"98.1"</f>
        <v>98.1</v>
      </c>
      <c r="M174" s="7" t="str">
        <f>"32.3"</f>
        <v>32.3</v>
      </c>
      <c r="N174" s="7" t="str">
        <f>"46,385"</f>
        <v>46,385</v>
      </c>
      <c r="O174" s="7" t="str">
        <f>"82,012"</f>
        <v>82,012</v>
      </c>
      <c r="P174" s="7" t="str">
        <f>"72,312"</f>
        <v>72,312</v>
      </c>
      <c r="Q174" s="7" t="str">
        <f>"5,291"</f>
        <v>5,291</v>
      </c>
      <c r="R174" s="1" t="str">
        <f t="shared" si="110"/>
        <v>2 X GE CF34-8E</v>
      </c>
      <c r="S174" s="1"/>
      <c r="T174" s="1"/>
      <c r="U174" s="1">
        <f t="shared" si="86"/>
        <v>104.76750127746551</v>
      </c>
      <c r="V174" s="7" t="str">
        <f t="shared" si="111"/>
        <v>M 0.82</v>
      </c>
      <c r="W174" s="7" t="str">
        <f t="shared" si="107"/>
        <v>M 0.78</v>
      </c>
      <c r="X174" s="7" t="str">
        <f>"5,190"</f>
        <v>5,190</v>
      </c>
      <c r="Y174" s="7" t="str">
        <f>"4,137"</f>
        <v>4,137</v>
      </c>
      <c r="Z174" s="7" t="str">
        <f>"2,300"</f>
        <v>2,300</v>
      </c>
      <c r="AA174" s="1" t="str">
        <f>"In service."</f>
        <v>In service.</v>
      </c>
    </row>
    <row r="175" spans="1:27" ht="19.95" customHeight="1">
      <c r="A175" s="3" t="str">
        <f t="shared" si="95"/>
        <v>Embraer S.A.</v>
      </c>
      <c r="B175" s="4" t="str">
        <f t="shared" si="95"/>
        <v>Embraer S.A.</v>
      </c>
      <c r="C175" s="3" t="str">
        <f t="shared" si="96"/>
        <v>Sao Jose dos Campos</v>
      </c>
      <c r="D175" s="3" t="str">
        <f t="shared" si="97"/>
        <v>SP</v>
      </c>
      <c r="E175" s="3" t="str">
        <f t="shared" si="98"/>
        <v>Brazil</v>
      </c>
      <c r="F175" s="3" t="str">
        <f>"Embraer 170 STD"</f>
        <v>Embraer 170 STD</v>
      </c>
      <c r="G175" s="3" t="str">
        <f t="shared" si="99"/>
        <v>Narrow-Body Turbofans</v>
      </c>
      <c r="H175" s="8" t="str">
        <f>"2"</f>
        <v>2</v>
      </c>
      <c r="I175" s="8" t="str">
        <f>"70-80"</f>
        <v>70-80</v>
      </c>
      <c r="J175" s="8" t="str">
        <f t="shared" si="108"/>
        <v>85.3</v>
      </c>
      <c r="K175" s="8" t="str">
        <f t="shared" si="109"/>
        <v>782.8</v>
      </c>
      <c r="L175" s="8" t="str">
        <f>"98.1"</f>
        <v>98.1</v>
      </c>
      <c r="M175" s="8" t="str">
        <f>"32.3"</f>
        <v>32.3</v>
      </c>
      <c r="N175" s="8" t="str">
        <f>"46,385"</f>
        <v>46,385</v>
      </c>
      <c r="O175" s="8" t="str">
        <f>"79,344"</f>
        <v>79,344</v>
      </c>
      <c r="P175" s="8" t="str">
        <f>"72,312"</f>
        <v>72,312</v>
      </c>
      <c r="Q175" s="8" t="str">
        <f>"5,291"</f>
        <v>5,291</v>
      </c>
      <c r="R175" s="3" t="str">
        <f t="shared" si="110"/>
        <v>2 X GE CF34-8E</v>
      </c>
      <c r="S175" s="3"/>
      <c r="T175" s="3"/>
      <c r="U175" s="1">
        <f t="shared" si="86"/>
        <v>101.35922330097088</v>
      </c>
      <c r="V175" s="8" t="str">
        <f t="shared" si="111"/>
        <v>M 0.82</v>
      </c>
      <c r="W175" s="8" t="str">
        <f t="shared" si="107"/>
        <v>M 0.78</v>
      </c>
      <c r="X175" s="8" t="str">
        <f>"4,865"</f>
        <v>4,865</v>
      </c>
      <c r="Y175" s="8" t="str">
        <f>"4,137"</f>
        <v>4,137</v>
      </c>
      <c r="Z175" s="8" t="str">
        <f>"2,070"</f>
        <v>2,070</v>
      </c>
      <c r="AA175" s="3" t="str">
        <f>"In service."</f>
        <v>In service.</v>
      </c>
    </row>
    <row r="176" spans="1:27" ht="19.95" customHeight="1">
      <c r="A176" s="1" t="str">
        <f t="shared" si="95"/>
        <v>Embraer S.A.</v>
      </c>
      <c r="B176" s="2" t="str">
        <f t="shared" si="95"/>
        <v>Embraer S.A.</v>
      </c>
      <c r="C176" s="1" t="str">
        <f t="shared" si="96"/>
        <v>Sao Jose dos Campos</v>
      </c>
      <c r="D176" s="1" t="str">
        <f t="shared" si="97"/>
        <v>SP</v>
      </c>
      <c r="E176" s="1" t="str">
        <f t="shared" si="98"/>
        <v>Brazil</v>
      </c>
      <c r="F176" s="1" t="str">
        <f>"Embraer 175 AR"</f>
        <v>Embraer 175 AR</v>
      </c>
      <c r="G176" s="1" t="str">
        <f t="shared" si="99"/>
        <v>Narrow-Body Turbofans</v>
      </c>
      <c r="H176" s="7" t="str">
        <f t="shared" ref="H176:H184" si="112">"4"</f>
        <v>4</v>
      </c>
      <c r="I176" s="7" t="str">
        <f>"78-88"</f>
        <v>78-88</v>
      </c>
      <c r="J176" s="7" t="str">
        <f t="shared" si="108"/>
        <v>85.3</v>
      </c>
      <c r="K176" s="7" t="str">
        <f t="shared" si="109"/>
        <v>782.8</v>
      </c>
      <c r="L176" s="7" t="str">
        <f>"103.9"</f>
        <v>103.9</v>
      </c>
      <c r="M176" s="7" t="str">
        <f>"31.9"</f>
        <v>31.9</v>
      </c>
      <c r="N176" s="7" t="str">
        <f>"47,708"</f>
        <v>47,708</v>
      </c>
      <c r="O176" s="7" t="str">
        <f>"89,000"</f>
        <v>89,000</v>
      </c>
      <c r="P176" s="7" t="str">
        <f>"75,178"</f>
        <v>75,178</v>
      </c>
      <c r="Q176" s="7" t="str">
        <f>"5,842"</f>
        <v>5,842</v>
      </c>
      <c r="R176" s="1" t="str">
        <f t="shared" si="110"/>
        <v>2 X GE CF34-8E</v>
      </c>
      <c r="S176" s="1"/>
      <c r="T176" s="1"/>
      <c r="U176" s="1">
        <f t="shared" si="86"/>
        <v>113.69443025038325</v>
      </c>
      <c r="V176" s="7" t="str">
        <f t="shared" si="111"/>
        <v>M 0.82</v>
      </c>
      <c r="W176" s="7" t="str">
        <f t="shared" si="107"/>
        <v>M 0.78</v>
      </c>
      <c r="X176" s="7" t="str">
        <f>"7,362"</f>
        <v>7,362</v>
      </c>
      <c r="Y176" s="7" t="str">
        <f>"4,249"</f>
        <v>4,249</v>
      </c>
      <c r="Z176" s="7" t="str">
        <f>"2,300"</f>
        <v>2,300</v>
      </c>
      <c r="AA176" s="1" t="str">
        <f>"Entry into service 4th quarter 2008."</f>
        <v>Entry into service 4th quarter 2008.</v>
      </c>
    </row>
    <row r="177" spans="1:27" ht="19.95" customHeight="1">
      <c r="A177" s="3" t="str">
        <f t="shared" si="95"/>
        <v>Embraer S.A.</v>
      </c>
      <c r="B177" s="4" t="str">
        <f t="shared" si="95"/>
        <v>Embraer S.A.</v>
      </c>
      <c r="C177" s="3" t="str">
        <f t="shared" si="96"/>
        <v>Sao Jose dos Campos</v>
      </c>
      <c r="D177" s="3" t="str">
        <f t="shared" si="97"/>
        <v>SP</v>
      </c>
      <c r="E177" s="3" t="str">
        <f t="shared" si="98"/>
        <v>Brazil</v>
      </c>
      <c r="F177" s="3" t="str">
        <f>"Embraer 175 LR"</f>
        <v>Embraer 175 LR</v>
      </c>
      <c r="G177" s="3" t="str">
        <f t="shared" si="99"/>
        <v>Narrow-Body Turbofans</v>
      </c>
      <c r="H177" s="8" t="str">
        <f t="shared" si="112"/>
        <v>4</v>
      </c>
      <c r="I177" s="8" t="str">
        <f>"78-88"</f>
        <v>78-88</v>
      </c>
      <c r="J177" s="8" t="str">
        <f t="shared" si="108"/>
        <v>85.3</v>
      </c>
      <c r="K177" s="8" t="str">
        <f t="shared" si="109"/>
        <v>782.8</v>
      </c>
      <c r="L177" s="8" t="str">
        <f>"103.9"</f>
        <v>103.9</v>
      </c>
      <c r="M177" s="8" t="str">
        <f>"31.9"</f>
        <v>31.9</v>
      </c>
      <c r="N177" s="8" t="str">
        <f>"47,664"</f>
        <v>47,664</v>
      </c>
      <c r="O177" s="8" t="str">
        <f>"85,517"</f>
        <v>85,517</v>
      </c>
      <c r="P177" s="8" t="str">
        <f>"74,957"</f>
        <v>74,957</v>
      </c>
      <c r="Q177" s="8" t="str">
        <f>"5,842"</f>
        <v>5,842</v>
      </c>
      <c r="R177" s="3" t="str">
        <f t="shared" si="110"/>
        <v>2 X GE CF34-8E</v>
      </c>
      <c r="S177" s="3"/>
      <c r="T177" s="3"/>
      <c r="U177" s="1">
        <f t="shared" si="86"/>
        <v>109.24501788451713</v>
      </c>
      <c r="V177" s="8" t="str">
        <f t="shared" si="111"/>
        <v>M 0.82</v>
      </c>
      <c r="W177" s="8" t="str">
        <f t="shared" si="107"/>
        <v>M 0.78</v>
      </c>
      <c r="X177" s="8" t="str">
        <f>"5,656"</f>
        <v>5,656</v>
      </c>
      <c r="Y177" s="8" t="str">
        <f>"4,242"</f>
        <v>4,242</v>
      </c>
      <c r="Z177" s="8" t="str">
        <f>"2,190"</f>
        <v>2,190</v>
      </c>
      <c r="AA177" s="3" t="str">
        <f t="shared" ref="AA177:AA184" si="113">"In service."</f>
        <v>In service.</v>
      </c>
    </row>
    <row r="178" spans="1:27" ht="19.95" customHeight="1">
      <c r="A178" s="1" t="str">
        <f t="shared" si="95"/>
        <v>Embraer S.A.</v>
      </c>
      <c r="B178" s="2" t="str">
        <f t="shared" si="95"/>
        <v>Embraer S.A.</v>
      </c>
      <c r="C178" s="1" t="str">
        <f t="shared" si="96"/>
        <v>Sao Jose dos Campos</v>
      </c>
      <c r="D178" s="1" t="str">
        <f t="shared" si="97"/>
        <v>SP</v>
      </c>
      <c r="E178" s="1" t="str">
        <f t="shared" si="98"/>
        <v>Brazil</v>
      </c>
      <c r="F178" s="1" t="str">
        <f>"Embraer 175 STD"</f>
        <v>Embraer 175 STD</v>
      </c>
      <c r="G178" s="1" t="str">
        <f t="shared" si="99"/>
        <v>Narrow-Body Turbofans</v>
      </c>
      <c r="H178" s="7" t="str">
        <f t="shared" si="112"/>
        <v>4</v>
      </c>
      <c r="I178" s="7" t="str">
        <f>"78-88"</f>
        <v>78-88</v>
      </c>
      <c r="J178" s="7" t="str">
        <f t="shared" si="108"/>
        <v>85.3</v>
      </c>
      <c r="K178" s="7" t="str">
        <f t="shared" si="109"/>
        <v>782.8</v>
      </c>
      <c r="L178" s="7" t="str">
        <f>"103.9"</f>
        <v>103.9</v>
      </c>
      <c r="M178" s="7" t="str">
        <f>"31.9"</f>
        <v>31.9</v>
      </c>
      <c r="N178" s="7" t="str">
        <f>"47,664"</f>
        <v>47,664</v>
      </c>
      <c r="O178" s="7" t="str">
        <f>"82,673"</f>
        <v>82,673</v>
      </c>
      <c r="P178" s="7" t="str">
        <f>"74,957"</f>
        <v>74,957</v>
      </c>
      <c r="Q178" s="7" t="str">
        <f>"5,842"</f>
        <v>5,842</v>
      </c>
      <c r="R178" s="1" t="str">
        <f t="shared" si="110"/>
        <v>2 X GE CF34-8E</v>
      </c>
      <c r="S178" s="1"/>
      <c r="T178" s="1"/>
      <c r="U178" s="1">
        <f t="shared" si="86"/>
        <v>105.61190597853859</v>
      </c>
      <c r="V178" s="7" t="str">
        <f t="shared" si="111"/>
        <v>M 0.82</v>
      </c>
      <c r="W178" s="7" t="str">
        <f t="shared" si="107"/>
        <v>M 0.78</v>
      </c>
      <c r="X178" s="7" t="str">
        <f>"5,289"</f>
        <v>5,289</v>
      </c>
      <c r="Y178" s="7" t="str">
        <f>"4,242"</f>
        <v>4,242</v>
      </c>
      <c r="Z178" s="7" t="str">
        <f>"1,960"</f>
        <v>1,960</v>
      </c>
      <c r="AA178" s="1" t="str">
        <f t="shared" si="113"/>
        <v>In service.</v>
      </c>
    </row>
    <row r="179" spans="1:27" ht="19.95" customHeight="1">
      <c r="A179" s="3" t="str">
        <f t="shared" si="95"/>
        <v>Embraer S.A.</v>
      </c>
      <c r="B179" s="4" t="str">
        <f t="shared" si="95"/>
        <v>Embraer S.A.</v>
      </c>
      <c r="C179" s="3" t="str">
        <f t="shared" si="96"/>
        <v>Sao Jose dos Campos</v>
      </c>
      <c r="D179" s="3" t="str">
        <f t="shared" si="97"/>
        <v>SP</v>
      </c>
      <c r="E179" s="3" t="str">
        <f t="shared" si="98"/>
        <v>Brazil</v>
      </c>
      <c r="F179" s="3" t="str">
        <f>"Embraer 190 AR"</f>
        <v>Embraer 190 AR</v>
      </c>
      <c r="G179" s="3" t="str">
        <f t="shared" si="99"/>
        <v>Narrow-Body Turbofans</v>
      </c>
      <c r="H179" s="8" t="str">
        <f t="shared" si="112"/>
        <v>4</v>
      </c>
      <c r="I179" s="8" t="str">
        <f>"98-114"</f>
        <v>98-114</v>
      </c>
      <c r="J179" s="8" t="str">
        <f t="shared" ref="J179:J184" si="114">"94.3"</f>
        <v>94.3</v>
      </c>
      <c r="K179" s="8" t="str">
        <f t="shared" ref="K179:K184" si="115">"995.7"</f>
        <v>995.7</v>
      </c>
      <c r="L179" s="8" t="str">
        <f>"118.9"</f>
        <v>118.9</v>
      </c>
      <c r="M179" s="8" t="str">
        <f>"34.7"</f>
        <v>34.7</v>
      </c>
      <c r="N179" s="8" t="str">
        <f>"61,333"</f>
        <v>61,333</v>
      </c>
      <c r="O179" s="8" t="str">
        <f>"114,199"</f>
        <v>114,199</v>
      </c>
      <c r="P179" s="8" t="str">
        <f>"97,003"</f>
        <v>97,003</v>
      </c>
      <c r="Q179" s="8" t="str">
        <f>"7,716"</f>
        <v>7,716</v>
      </c>
      <c r="R179" s="3" t="str">
        <f t="shared" ref="R179:R184" si="116">"2 X GE CF34-10E"</f>
        <v>2 X GE CF34-10E</v>
      </c>
      <c r="S179" s="3"/>
      <c r="T179" s="3"/>
      <c r="U179" s="1">
        <f t="shared" si="86"/>
        <v>114.69217635834086</v>
      </c>
      <c r="V179" s="8" t="str">
        <f t="shared" si="111"/>
        <v>M 0.82</v>
      </c>
      <c r="W179" s="8" t="str">
        <f t="shared" si="107"/>
        <v>M 0.78</v>
      </c>
      <c r="X179" s="8" t="str">
        <f>"6,890"</f>
        <v>6,890</v>
      </c>
      <c r="Y179" s="8" t="str">
        <f>"4,341"</f>
        <v>4,341</v>
      </c>
      <c r="Z179" s="8" t="str">
        <f>"2,760"</f>
        <v>2,760</v>
      </c>
      <c r="AA179" s="3" t="str">
        <f t="shared" si="113"/>
        <v>In service.</v>
      </c>
    </row>
    <row r="180" spans="1:27" ht="19.95" customHeight="1">
      <c r="A180" s="1" t="str">
        <f t="shared" si="95"/>
        <v>Embraer S.A.</v>
      </c>
      <c r="B180" s="2" t="str">
        <f t="shared" si="95"/>
        <v>Embraer S.A.</v>
      </c>
      <c r="C180" s="1" t="str">
        <f t="shared" si="96"/>
        <v>Sao Jose dos Campos</v>
      </c>
      <c r="D180" s="1" t="str">
        <f t="shared" si="97"/>
        <v>SP</v>
      </c>
      <c r="E180" s="1" t="str">
        <f t="shared" si="98"/>
        <v>Brazil</v>
      </c>
      <c r="F180" s="1" t="str">
        <f>"Embraer 190 LR"</f>
        <v>Embraer 190 LR</v>
      </c>
      <c r="G180" s="1" t="str">
        <f t="shared" si="99"/>
        <v>Narrow-Body Turbofans</v>
      </c>
      <c r="H180" s="7" t="str">
        <f t="shared" si="112"/>
        <v>4</v>
      </c>
      <c r="I180" s="7" t="str">
        <f>"98-114"</f>
        <v>98-114</v>
      </c>
      <c r="J180" s="7" t="str">
        <f t="shared" si="114"/>
        <v>94.3</v>
      </c>
      <c r="K180" s="7" t="str">
        <f t="shared" si="115"/>
        <v>995.7</v>
      </c>
      <c r="L180" s="7" t="str">
        <f>"118.9"</f>
        <v>118.9</v>
      </c>
      <c r="M180" s="7" t="str">
        <f>"34.7"</f>
        <v>34.7</v>
      </c>
      <c r="N180" s="7" t="str">
        <f>"61,112"</f>
        <v>61,112</v>
      </c>
      <c r="O180" s="7" t="str">
        <f>"110,893"</f>
        <v>110,893</v>
      </c>
      <c r="P180" s="7" t="str">
        <f>"94,799"</f>
        <v>94,799</v>
      </c>
      <c r="Q180" s="7" t="str">
        <f>"7,716"</f>
        <v>7,716</v>
      </c>
      <c r="R180" s="1" t="str">
        <f t="shared" si="116"/>
        <v>2 X GE CF34-10E</v>
      </c>
      <c r="S180" s="1"/>
      <c r="T180" s="1"/>
      <c r="U180" s="1">
        <f t="shared" si="86"/>
        <v>111.37189916641559</v>
      </c>
      <c r="V180" s="7" t="str">
        <f t="shared" si="111"/>
        <v>M 0.82</v>
      </c>
      <c r="W180" s="7" t="str">
        <f t="shared" si="107"/>
        <v>M 0.78</v>
      </c>
      <c r="X180" s="7" t="str">
        <f>"6,755"</f>
        <v>6,755</v>
      </c>
      <c r="Y180" s="7" t="str">
        <f>"4,278"</f>
        <v>4,278</v>
      </c>
      <c r="Z180" s="7" t="str">
        <f>"2,650"</f>
        <v>2,650</v>
      </c>
      <c r="AA180" s="1" t="str">
        <f t="shared" si="113"/>
        <v>In service.</v>
      </c>
    </row>
    <row r="181" spans="1:27" ht="19.95" customHeight="1">
      <c r="A181" s="3" t="str">
        <f t="shared" si="95"/>
        <v>Embraer S.A.</v>
      </c>
      <c r="B181" s="4" t="str">
        <f t="shared" si="95"/>
        <v>Embraer S.A.</v>
      </c>
      <c r="C181" s="3" t="str">
        <f t="shared" si="96"/>
        <v>Sao Jose dos Campos</v>
      </c>
      <c r="D181" s="3" t="str">
        <f t="shared" si="97"/>
        <v>SP</v>
      </c>
      <c r="E181" s="3" t="str">
        <f t="shared" si="98"/>
        <v>Brazil</v>
      </c>
      <c r="F181" s="3" t="str">
        <f>"Embraer 190 STD"</f>
        <v>Embraer 190 STD</v>
      </c>
      <c r="G181" s="3" t="str">
        <f t="shared" si="99"/>
        <v>Narrow-Body Turbofans</v>
      </c>
      <c r="H181" s="8" t="str">
        <f t="shared" si="112"/>
        <v>4</v>
      </c>
      <c r="I181" s="8" t="str">
        <f>"98-114"</f>
        <v>98-114</v>
      </c>
      <c r="J181" s="8" t="str">
        <f t="shared" si="114"/>
        <v>94.3</v>
      </c>
      <c r="K181" s="8" t="str">
        <f t="shared" si="115"/>
        <v>995.7</v>
      </c>
      <c r="L181" s="8" t="str">
        <f>"118.9"</f>
        <v>118.9</v>
      </c>
      <c r="M181" s="8" t="str">
        <f>"34.7"</f>
        <v>34.7</v>
      </c>
      <c r="N181" s="8" t="str">
        <f>"61,112"</f>
        <v>61,112</v>
      </c>
      <c r="O181" s="8" t="str">
        <f>"105,359"</f>
        <v>105,359</v>
      </c>
      <c r="P181" s="8" t="str">
        <f>"94,799"</f>
        <v>94,799</v>
      </c>
      <c r="Q181" s="8" t="str">
        <f>"7,716"</f>
        <v>7,716</v>
      </c>
      <c r="R181" s="3" t="str">
        <f t="shared" si="116"/>
        <v>2 X GE CF34-10E</v>
      </c>
      <c r="S181" s="3"/>
      <c r="T181" s="3"/>
      <c r="U181" s="1">
        <f t="shared" si="86"/>
        <v>105.8140002008637</v>
      </c>
      <c r="V181" s="8" t="str">
        <f t="shared" si="111"/>
        <v>M 0.82</v>
      </c>
      <c r="W181" s="8" t="str">
        <f t="shared" si="107"/>
        <v>M 0.78</v>
      </c>
      <c r="X181" s="8" t="str">
        <f>"5,243"</f>
        <v>5,243</v>
      </c>
      <c r="Y181" s="8" t="str">
        <f>"4,278"</f>
        <v>4,278</v>
      </c>
      <c r="Z181" s="8" t="str">
        <f>"2,070"</f>
        <v>2,070</v>
      </c>
      <c r="AA181" s="3" t="str">
        <f t="shared" si="113"/>
        <v>In service.</v>
      </c>
    </row>
    <row r="182" spans="1:27" ht="19.95" customHeight="1">
      <c r="A182" s="1" t="str">
        <f t="shared" si="95"/>
        <v>Embraer S.A.</v>
      </c>
      <c r="B182" s="2" t="str">
        <f t="shared" si="95"/>
        <v>Embraer S.A.</v>
      </c>
      <c r="C182" s="1" t="str">
        <f t="shared" si="96"/>
        <v>Sao Jose dos Campos</v>
      </c>
      <c r="D182" s="1" t="str">
        <f t="shared" si="97"/>
        <v>SP</v>
      </c>
      <c r="E182" s="1" t="str">
        <f t="shared" si="98"/>
        <v>Brazil</v>
      </c>
      <c r="F182" s="1" t="str">
        <f>"Embraer 195 AR"</f>
        <v>Embraer 195 AR</v>
      </c>
      <c r="G182" s="1" t="str">
        <f t="shared" si="99"/>
        <v>Narrow-Body Turbofans</v>
      </c>
      <c r="H182" s="7" t="str">
        <f t="shared" si="112"/>
        <v>4</v>
      </c>
      <c r="I182" s="7" t="str">
        <f>"108-122"</f>
        <v>108-122</v>
      </c>
      <c r="J182" s="7" t="str">
        <f t="shared" si="114"/>
        <v>94.3</v>
      </c>
      <c r="K182" s="7" t="str">
        <f t="shared" si="115"/>
        <v>995.7</v>
      </c>
      <c r="L182" s="7" t="str">
        <f>"126.8"</f>
        <v>126.8</v>
      </c>
      <c r="M182" s="7" t="str">
        <f>"34.6"</f>
        <v>34.6</v>
      </c>
      <c r="N182" s="7" t="str">
        <f>"63,824"</f>
        <v>63,824</v>
      </c>
      <c r="O182" s="7" t="str">
        <f>"115,280"</f>
        <v>115,280</v>
      </c>
      <c r="P182" s="7" t="str">
        <f>"100,972"</f>
        <v>100,972</v>
      </c>
      <c r="Q182" s="7" t="str">
        <f>"8,157"</f>
        <v>8,157</v>
      </c>
      <c r="R182" s="1" t="str">
        <f t="shared" si="116"/>
        <v>2 X GE CF34-10E</v>
      </c>
      <c r="S182" s="1"/>
      <c r="T182" s="1"/>
      <c r="U182" s="1">
        <f t="shared" si="86"/>
        <v>115.7778447323491</v>
      </c>
      <c r="V182" s="7" t="str">
        <f t="shared" si="111"/>
        <v>M 0.82</v>
      </c>
      <c r="W182" s="7" t="str">
        <f t="shared" si="107"/>
        <v>M 0.78</v>
      </c>
      <c r="X182" s="7" t="str">
        <f>"7,149"</f>
        <v>7,149</v>
      </c>
      <c r="Y182" s="7" t="str">
        <f>"4,183"</f>
        <v>4,183</v>
      </c>
      <c r="Z182" s="7" t="str">
        <f>"2,530"</f>
        <v>2,530</v>
      </c>
      <c r="AA182" s="1" t="str">
        <f t="shared" si="113"/>
        <v>In service.</v>
      </c>
    </row>
    <row r="183" spans="1:27" ht="19.95" customHeight="1">
      <c r="A183" s="3" t="str">
        <f t="shared" si="95"/>
        <v>Embraer S.A.</v>
      </c>
      <c r="B183" s="4" t="str">
        <f t="shared" si="95"/>
        <v>Embraer S.A.</v>
      </c>
      <c r="C183" s="3" t="str">
        <f t="shared" si="96"/>
        <v>Sao Jose dos Campos</v>
      </c>
      <c r="D183" s="3" t="str">
        <f t="shared" si="97"/>
        <v>SP</v>
      </c>
      <c r="E183" s="3" t="str">
        <f t="shared" si="98"/>
        <v>Brazil</v>
      </c>
      <c r="F183" s="3" t="str">
        <f>"Embraer 195 LR"</f>
        <v>Embraer 195 LR</v>
      </c>
      <c r="G183" s="3" t="str">
        <f t="shared" si="99"/>
        <v>Narrow-Body Turbofans</v>
      </c>
      <c r="H183" s="8" t="str">
        <f t="shared" si="112"/>
        <v>4</v>
      </c>
      <c r="I183" s="8" t="str">
        <f>"108-122"</f>
        <v>108-122</v>
      </c>
      <c r="J183" s="8" t="str">
        <f t="shared" si="114"/>
        <v>94.3</v>
      </c>
      <c r="K183" s="8" t="str">
        <f t="shared" si="115"/>
        <v>995.7</v>
      </c>
      <c r="L183" s="8" t="str">
        <f>"126.8"</f>
        <v>126.8</v>
      </c>
      <c r="M183" s="8" t="str">
        <f>"34.6"</f>
        <v>34.6</v>
      </c>
      <c r="N183" s="8" t="str">
        <f>"63,603"</f>
        <v>63,603</v>
      </c>
      <c r="O183" s="8" t="str">
        <f>"111,973"</f>
        <v>111,973</v>
      </c>
      <c r="P183" s="8" t="str">
        <f>"99,208"</f>
        <v>99,208</v>
      </c>
      <c r="Q183" s="8" t="str">
        <f>"8,157"</f>
        <v>8,157</v>
      </c>
      <c r="R183" s="3" t="str">
        <f t="shared" si="116"/>
        <v>2 X GE CF34-10E</v>
      </c>
      <c r="S183" s="3"/>
      <c r="T183" s="3"/>
      <c r="U183" s="1">
        <f t="shared" si="86"/>
        <v>112.45656322185397</v>
      </c>
      <c r="V183" s="8" t="str">
        <f t="shared" si="111"/>
        <v>M 0.82</v>
      </c>
      <c r="W183" s="8" t="str">
        <f t="shared" si="107"/>
        <v>M 0.78</v>
      </c>
      <c r="X183" s="8" t="str">
        <f>"6,388"</f>
        <v>6,388</v>
      </c>
      <c r="Y183" s="8" t="str">
        <f>"4,131"</f>
        <v>4,131</v>
      </c>
      <c r="Z183" s="8" t="str">
        <f>"2,190"</f>
        <v>2,190</v>
      </c>
      <c r="AA183" s="3" t="str">
        <f t="shared" si="113"/>
        <v>In service.</v>
      </c>
    </row>
    <row r="184" spans="1:27" ht="19.95" customHeight="1">
      <c r="A184" s="1" t="str">
        <f t="shared" si="95"/>
        <v>Embraer S.A.</v>
      </c>
      <c r="B184" s="2" t="str">
        <f t="shared" si="95"/>
        <v>Embraer S.A.</v>
      </c>
      <c r="C184" s="1" t="str">
        <f t="shared" si="96"/>
        <v>Sao Jose dos Campos</v>
      </c>
      <c r="D184" s="1" t="str">
        <f t="shared" si="97"/>
        <v>SP</v>
      </c>
      <c r="E184" s="1" t="str">
        <f t="shared" si="98"/>
        <v>Brazil</v>
      </c>
      <c r="F184" s="1" t="str">
        <f>"Embraer 195 STD"</f>
        <v>Embraer 195 STD</v>
      </c>
      <c r="G184" s="1" t="str">
        <f t="shared" si="99"/>
        <v>Narrow-Body Turbofans</v>
      </c>
      <c r="H184" s="7" t="str">
        <f t="shared" si="112"/>
        <v>4</v>
      </c>
      <c r="I184" s="7" t="str">
        <f>"108-122"</f>
        <v>108-122</v>
      </c>
      <c r="J184" s="7" t="str">
        <f t="shared" si="114"/>
        <v>94.3</v>
      </c>
      <c r="K184" s="7" t="str">
        <f t="shared" si="115"/>
        <v>995.7</v>
      </c>
      <c r="L184" s="7" t="str">
        <f>"126.8"</f>
        <v>126.8</v>
      </c>
      <c r="M184" s="7" t="str">
        <f>"34.6"</f>
        <v>34.6</v>
      </c>
      <c r="N184" s="7" t="str">
        <f>"63,603"</f>
        <v>63,603</v>
      </c>
      <c r="O184" s="7" t="str">
        <f>"107,564"</f>
        <v>107,564</v>
      </c>
      <c r="P184" s="7" t="str">
        <f>"99,208"</f>
        <v>99,208</v>
      </c>
      <c r="Q184" s="7" t="str">
        <f>"8,157"</f>
        <v>8,157</v>
      </c>
      <c r="R184" s="1" t="str">
        <f t="shared" si="116"/>
        <v>2 X GE CF34-10E</v>
      </c>
      <c r="S184" s="1"/>
      <c r="T184" s="1"/>
      <c r="U184" s="1">
        <f t="shared" si="86"/>
        <v>108.02852264738374</v>
      </c>
      <c r="V184" s="7" t="str">
        <f t="shared" si="111"/>
        <v>M 0.82</v>
      </c>
      <c r="W184" s="7" t="str">
        <f t="shared" si="107"/>
        <v>M 0.78</v>
      </c>
      <c r="X184" s="7" t="str">
        <f>"5,715"</f>
        <v>5,715</v>
      </c>
      <c r="Y184" s="7" t="str">
        <f>"4,131"</f>
        <v>4,131</v>
      </c>
      <c r="Z184" s="7" t="str">
        <f>"1,730"</f>
        <v>1,730</v>
      </c>
      <c r="AA184" s="1" t="str">
        <f t="shared" si="113"/>
        <v>In service.</v>
      </c>
    </row>
    <row r="185" spans="1:27" ht="19.95" customHeight="1">
      <c r="A185" s="3" t="str">
        <f t="shared" ref="A185:B187" si="117">"Fairchild Dornier"</f>
        <v>Fairchild Dornier</v>
      </c>
      <c r="B185" s="4" t="str">
        <f t="shared" si="117"/>
        <v>Fairchild Dornier</v>
      </c>
      <c r="C185" s="3" t="str">
        <f>""</f>
        <v/>
      </c>
      <c r="D185" s="3" t="str">
        <f>""</f>
        <v/>
      </c>
      <c r="E185" s="3" t="str">
        <f>""</f>
        <v/>
      </c>
      <c r="F185" s="3" t="str">
        <f>"Dornier Do 328-110"</f>
        <v>Dornier Do 328-110</v>
      </c>
      <c r="G185" s="3" t="str">
        <f>"Turboprops"</f>
        <v>Turboprops</v>
      </c>
      <c r="H185" s="8" t="str">
        <f t="shared" ref="H185:H193" si="118">"2"</f>
        <v>2</v>
      </c>
      <c r="I185" s="8" t="str">
        <f>"32/34"</f>
        <v>32/34</v>
      </c>
      <c r="J185" s="8" t="str">
        <f>"68.8"</f>
        <v>68.8</v>
      </c>
      <c r="K185" s="8" t="str">
        <f>"430.5"</f>
        <v>430.5</v>
      </c>
      <c r="L185" s="8" t="str">
        <f>"69.8"</f>
        <v>69.8</v>
      </c>
      <c r="M185" s="8" t="str">
        <f>"23.1"</f>
        <v>23.1</v>
      </c>
      <c r="N185" s="8" t="str">
        <f>"20,000"</f>
        <v>20,000</v>
      </c>
      <c r="O185" s="8" t="str">
        <f>"30,843"</f>
        <v>30,843</v>
      </c>
      <c r="P185" s="8" t="str">
        <f>"29,167"</f>
        <v>29,167</v>
      </c>
      <c r="Q185" s="8" t="str">
        <f>"7,800"</f>
        <v>7,800</v>
      </c>
      <c r="R185" s="3" t="str">
        <f>"2 X Pratt &amp; Whitney Canada PW119B"</f>
        <v>2 X Pratt &amp; Whitney Canada PW119B</v>
      </c>
      <c r="S185" s="3"/>
      <c r="T185" s="3"/>
      <c r="U185" s="1">
        <f t="shared" si="86"/>
        <v>71.644599303135891</v>
      </c>
      <c r="V185" s="8" t="str">
        <f>"378"</f>
        <v>378</v>
      </c>
      <c r="W185" s="8" t="str">
        <f>"363"</f>
        <v>363</v>
      </c>
      <c r="X185" s="8" t="str">
        <f>"3,570"</f>
        <v>3,570</v>
      </c>
      <c r="Y185" s="8" t="str">
        <f>"3,825"</f>
        <v>3,825</v>
      </c>
      <c r="Z185" s="8" t="str">
        <f>""</f>
        <v/>
      </c>
      <c r="AA185" s="3" t="str">
        <f t="shared" ref="AA185:AA192" si="119">"Out of production."</f>
        <v>Out of production.</v>
      </c>
    </row>
    <row r="186" spans="1:27" ht="19.95" customHeight="1">
      <c r="A186" s="1" t="str">
        <f t="shared" si="117"/>
        <v>Fairchild Dornier</v>
      </c>
      <c r="B186" s="2" t="str">
        <f t="shared" si="117"/>
        <v>Fairchild Dornier</v>
      </c>
      <c r="C186" s="1" t="str">
        <f>""</f>
        <v/>
      </c>
      <c r="D186" s="1" t="str">
        <f>""</f>
        <v/>
      </c>
      <c r="E186" s="1" t="str">
        <f>""</f>
        <v/>
      </c>
      <c r="F186" s="1" t="str">
        <f>"Dornier Do 328-300"</f>
        <v>Dornier Do 328-300</v>
      </c>
      <c r="G186" s="1" t="str">
        <f>"Narrow-Body Turbofans"</f>
        <v>Narrow-Body Turbofans</v>
      </c>
      <c r="H186" s="7" t="str">
        <f t="shared" si="118"/>
        <v>2</v>
      </c>
      <c r="I186" s="7" t="str">
        <f>"32-34"</f>
        <v>32-34</v>
      </c>
      <c r="J186" s="7" t="str">
        <f>"68.8"</f>
        <v>68.8</v>
      </c>
      <c r="K186" s="7" t="str">
        <f>"430.5"</f>
        <v>430.5</v>
      </c>
      <c r="L186" s="7" t="str">
        <f>"69.8"</f>
        <v>69.8</v>
      </c>
      <c r="M186" s="7" t="str">
        <f>"23.9"</f>
        <v>23.9</v>
      </c>
      <c r="N186" s="7" t="str">
        <f>"20,600"</f>
        <v>20,600</v>
      </c>
      <c r="O186" s="7" t="str">
        <f>"33,510"</f>
        <v>33,510</v>
      </c>
      <c r="P186" s="7" t="str">
        <f>"31,063"</f>
        <v>31,063</v>
      </c>
      <c r="Q186" s="7" t="str">
        <f>"7,200"</f>
        <v>7,200</v>
      </c>
      <c r="R186" s="1" t="str">
        <f>"2 X Pratt &amp; Whitney Canada PW306B"</f>
        <v>2 X Pratt &amp; Whitney Canada PW306B</v>
      </c>
      <c r="S186" s="1"/>
      <c r="T186" s="1"/>
      <c r="U186" s="1">
        <f t="shared" si="86"/>
        <v>77.839721254355396</v>
      </c>
      <c r="V186" s="7" t="str">
        <f>"470"</f>
        <v>470</v>
      </c>
      <c r="W186" s="7" t="str">
        <f>"M 0.66"</f>
        <v>M 0.66</v>
      </c>
      <c r="X186" s="7" t="str">
        <f>"4,457"</f>
        <v>4,457</v>
      </c>
      <c r="Y186" s="7" t="str">
        <f>"4,234"</f>
        <v>4,234</v>
      </c>
      <c r="Z186" s="7" t="str">
        <f>"852"</f>
        <v>852</v>
      </c>
      <c r="AA186" s="1" t="str">
        <f t="shared" si="119"/>
        <v>Out of production.</v>
      </c>
    </row>
    <row r="187" spans="1:27" ht="19.95" customHeight="1">
      <c r="A187" s="3" t="str">
        <f t="shared" si="117"/>
        <v>Fairchild Dornier</v>
      </c>
      <c r="B187" s="4" t="str">
        <f t="shared" si="117"/>
        <v>Fairchild Dornier</v>
      </c>
      <c r="C187" s="3" t="str">
        <f>""</f>
        <v/>
      </c>
      <c r="D187" s="3" t="str">
        <f>""</f>
        <v/>
      </c>
      <c r="E187" s="3" t="str">
        <f>""</f>
        <v/>
      </c>
      <c r="F187" s="3" t="str">
        <f>"Dornier Do 328-310"</f>
        <v>Dornier Do 328-310</v>
      </c>
      <c r="G187" s="3" t="str">
        <f>"Narrow-Body Turbofans"</f>
        <v>Narrow-Body Turbofans</v>
      </c>
      <c r="H187" s="8" t="str">
        <f t="shared" si="118"/>
        <v>2</v>
      </c>
      <c r="I187" s="8" t="str">
        <f>"32-34"</f>
        <v>32-34</v>
      </c>
      <c r="J187" s="8" t="str">
        <f>"68.8"</f>
        <v>68.8</v>
      </c>
      <c r="K187" s="8" t="str">
        <f>"430.5"</f>
        <v>430.5</v>
      </c>
      <c r="L187" s="8" t="str">
        <f>"69.8"</f>
        <v>69.8</v>
      </c>
      <c r="M187" s="8" t="str">
        <f>"23.9"</f>
        <v>23.9</v>
      </c>
      <c r="N187" s="8" t="str">
        <f>"20,767"</f>
        <v>20,767</v>
      </c>
      <c r="O187" s="8" t="str">
        <f>"34,524"</f>
        <v>34,524</v>
      </c>
      <c r="P187" s="8" t="str">
        <f>"31,724"</f>
        <v>31,724</v>
      </c>
      <c r="Q187" s="8" t="str">
        <f>"8,047"</f>
        <v>8,047</v>
      </c>
      <c r="R187" s="3" t="str">
        <f>"2 X Pratt &amp; Whitney Canada PW306B"</f>
        <v>2 X Pratt &amp; Whitney Canada PW306B</v>
      </c>
      <c r="S187" s="3"/>
      <c r="T187" s="3"/>
      <c r="U187" s="1">
        <f t="shared" si="86"/>
        <v>80.195121951219505</v>
      </c>
      <c r="V187" s="8" t="str">
        <f>"470"</f>
        <v>470</v>
      </c>
      <c r="W187" s="8" t="str">
        <f>"M 0.66"</f>
        <v>M 0.66</v>
      </c>
      <c r="X187" s="8" t="str">
        <f>"4,530"</f>
        <v>4,530</v>
      </c>
      <c r="Y187" s="8" t="str">
        <f>"4,284"</f>
        <v>4,284</v>
      </c>
      <c r="Z187" s="8" t="str">
        <f>"1,036"</f>
        <v>1,036</v>
      </c>
      <c r="AA187" s="3" t="str">
        <f t="shared" si="119"/>
        <v>Out of production.</v>
      </c>
    </row>
    <row r="188" spans="1:27" ht="19.95" customHeight="1">
      <c r="A188" s="1" t="str">
        <f t="shared" ref="A188:B190" si="120">"Fokker Aircraft Services"</f>
        <v>Fokker Aircraft Services</v>
      </c>
      <c r="B188" s="2" t="str">
        <f t="shared" si="120"/>
        <v>Fokker Aircraft Services</v>
      </c>
      <c r="C188" s="1" t="str">
        <f>"Hoogerheide"</f>
        <v>Hoogerheide</v>
      </c>
      <c r="D188" s="1" t="str">
        <f>""</f>
        <v/>
      </c>
      <c r="E188" s="1" t="str">
        <f>"The Netherlands"</f>
        <v>The Netherlands</v>
      </c>
      <c r="F188" s="1" t="str">
        <f>"Fokker 50"</f>
        <v>Fokker 50</v>
      </c>
      <c r="G188" s="1" t="str">
        <f>"Turboprops"</f>
        <v>Turboprops</v>
      </c>
      <c r="H188" s="7" t="str">
        <f t="shared" si="118"/>
        <v>2</v>
      </c>
      <c r="I188" s="7" t="str">
        <f>"50-58"</f>
        <v>50-58</v>
      </c>
      <c r="J188" s="7" t="str">
        <f>"95.2"</f>
        <v>95.2</v>
      </c>
      <c r="K188" s="7" t="str">
        <f>"754"</f>
        <v>754</v>
      </c>
      <c r="L188" s="7" t="str">
        <f>"82.8"</f>
        <v>82.8</v>
      </c>
      <c r="M188" s="7" t="str">
        <f>"27.3"</f>
        <v>27.3</v>
      </c>
      <c r="N188" s="7" t="str">
        <f>"27,600"</f>
        <v>27,600</v>
      </c>
      <c r="O188" s="7" t="str">
        <f>"45,900"</f>
        <v>45,900</v>
      </c>
      <c r="P188" s="7" t="str">
        <f>"43,650"</f>
        <v>43,650</v>
      </c>
      <c r="Q188" s="7" t="str">
        <f>"4,225"</f>
        <v>4,225</v>
      </c>
      <c r="R188" s="1" t="str">
        <f>"2 X Pratt &amp; Whitney Canada PW125B"</f>
        <v>2 X Pratt &amp; Whitney Canada PW125B</v>
      </c>
      <c r="S188" s="1"/>
      <c r="T188" s="1"/>
      <c r="U188" s="1">
        <f t="shared" si="86"/>
        <v>60.875331564986737</v>
      </c>
      <c r="V188" s="7" t="str">
        <f>"324"</f>
        <v>324</v>
      </c>
      <c r="W188" s="7" t="str">
        <f>"324"</f>
        <v>324</v>
      </c>
      <c r="X188" s="7" t="str">
        <f>"2,920"</f>
        <v>2,920</v>
      </c>
      <c r="Y188" s="7" t="str">
        <f>"3,337"</f>
        <v>3,337</v>
      </c>
      <c r="Z188" s="7" t="str">
        <f>"1,400"</f>
        <v>1,400</v>
      </c>
      <c r="AA188" s="1" t="str">
        <f t="shared" si="119"/>
        <v>Out of production.</v>
      </c>
    </row>
    <row r="189" spans="1:27" ht="19.95" customHeight="1">
      <c r="A189" s="3" t="str">
        <f t="shared" si="120"/>
        <v>Fokker Aircraft Services</v>
      </c>
      <c r="B189" s="4" t="str">
        <f t="shared" si="120"/>
        <v>Fokker Aircraft Services</v>
      </c>
      <c r="C189" s="3" t="str">
        <f>"Hoogerheide"</f>
        <v>Hoogerheide</v>
      </c>
      <c r="D189" s="3" t="str">
        <f>""</f>
        <v/>
      </c>
      <c r="E189" s="3" t="str">
        <f>"The Netherlands"</f>
        <v>The Netherlands</v>
      </c>
      <c r="F189" s="3" t="str">
        <f>"Fokker 50 High Performance"</f>
        <v>Fokker 50 High Performance</v>
      </c>
      <c r="G189" s="3" t="str">
        <f>"Turboprops"</f>
        <v>Turboprops</v>
      </c>
      <c r="H189" s="8" t="str">
        <f t="shared" si="118"/>
        <v>2</v>
      </c>
      <c r="I189" s="8" t="str">
        <f>"50-58"</f>
        <v>50-58</v>
      </c>
      <c r="J189" s="8" t="str">
        <f>"95.2"</f>
        <v>95.2</v>
      </c>
      <c r="K189" s="8" t="str">
        <f>"754"</f>
        <v>754</v>
      </c>
      <c r="L189" s="8" t="str">
        <f>"82.8"</f>
        <v>82.8</v>
      </c>
      <c r="M189" s="8" t="str">
        <f>"27.3"</f>
        <v>27.3</v>
      </c>
      <c r="N189" s="8" t="str">
        <f>"27,600"</f>
        <v>27,600</v>
      </c>
      <c r="O189" s="8" t="str">
        <f>"45,900"</f>
        <v>45,900</v>
      </c>
      <c r="P189" s="8" t="str">
        <f>"43,650"</f>
        <v>43,650</v>
      </c>
      <c r="Q189" s="8" t="str">
        <f>"4,225"</f>
        <v>4,225</v>
      </c>
      <c r="R189" s="3" t="str">
        <f>"2 X Pratt &amp; Whitney Canada PW127B"</f>
        <v>2 X Pratt &amp; Whitney Canada PW127B</v>
      </c>
      <c r="S189" s="3"/>
      <c r="T189" s="3"/>
      <c r="U189" s="1">
        <f t="shared" si="86"/>
        <v>60.875331564986737</v>
      </c>
      <c r="V189" s="8" t="str">
        <f>"328"</f>
        <v>328</v>
      </c>
      <c r="W189" s="8" t="str">
        <f>"328"</f>
        <v>328</v>
      </c>
      <c r="X189" s="8" t="str">
        <f>"2,700"</f>
        <v>2,700</v>
      </c>
      <c r="Y189" s="8" t="str">
        <f>"3,330"</f>
        <v>3,330</v>
      </c>
      <c r="Z189" s="8" t="str">
        <f>"1,365"</f>
        <v>1,365</v>
      </c>
      <c r="AA189" s="3" t="str">
        <f t="shared" si="119"/>
        <v>Out of production.</v>
      </c>
    </row>
    <row r="190" spans="1:27" ht="19.95" customHeight="1">
      <c r="A190" s="1" t="str">
        <f t="shared" si="120"/>
        <v>Fokker Aircraft Services</v>
      </c>
      <c r="B190" s="2" t="str">
        <f t="shared" si="120"/>
        <v>Fokker Aircraft Services</v>
      </c>
      <c r="C190" s="1" t="str">
        <f>"Hoogerheide"</f>
        <v>Hoogerheide</v>
      </c>
      <c r="D190" s="1" t="str">
        <f>""</f>
        <v/>
      </c>
      <c r="E190" s="1" t="str">
        <f>"The Netherlands"</f>
        <v>The Netherlands</v>
      </c>
      <c r="F190" s="1" t="str">
        <f>"Fokker 60 Utility"</f>
        <v>Fokker 60 Utility</v>
      </c>
      <c r="G190" s="1" t="str">
        <f>"Turboprops"</f>
        <v>Turboprops</v>
      </c>
      <c r="H190" s="7" t="str">
        <f t="shared" si="118"/>
        <v>2</v>
      </c>
      <c r="I190" s="7" t="str">
        <f>"50-60"</f>
        <v>50-60</v>
      </c>
      <c r="J190" s="7" t="str">
        <f>"95.2"</f>
        <v>95.2</v>
      </c>
      <c r="K190" s="7" t="str">
        <f>"754"</f>
        <v>754</v>
      </c>
      <c r="L190" s="7" t="str">
        <f>"88.2"</f>
        <v>88.2</v>
      </c>
      <c r="M190" s="7" t="str">
        <f>"27.3"</f>
        <v>27.3</v>
      </c>
      <c r="N190" s="7" t="str">
        <f>"29,385"</f>
        <v>29,385</v>
      </c>
      <c r="O190" s="7" t="str">
        <f>"50,600"</f>
        <v>50,600</v>
      </c>
      <c r="P190" s="7" t="str">
        <f>"47,950"</f>
        <v>47,950</v>
      </c>
      <c r="Q190" s="7" t="str">
        <f>"17,230"</f>
        <v>17,230</v>
      </c>
      <c r="R190" s="1" t="str">
        <f>"2 X Pratt &amp; Whitney Canada PW127B"</f>
        <v>2 X Pratt &amp; Whitney Canada PW127B</v>
      </c>
      <c r="S190" s="1"/>
      <c r="T190" s="1"/>
      <c r="U190" s="1">
        <f t="shared" si="86"/>
        <v>67.108753315649864</v>
      </c>
      <c r="V190" s="7" t="str">
        <f>"322"</f>
        <v>322</v>
      </c>
      <c r="W190" s="7" t="str">
        <f>"322"</f>
        <v>322</v>
      </c>
      <c r="X190" s="7" t="str">
        <f>"3,450"</f>
        <v>3,450</v>
      </c>
      <c r="Y190" s="7" t="str">
        <f>"3,660"</f>
        <v>3,660</v>
      </c>
      <c r="Z190" s="7" t="str">
        <f>"1,365"</f>
        <v>1,365</v>
      </c>
      <c r="AA190" s="1" t="str">
        <f t="shared" si="119"/>
        <v>Out of production.</v>
      </c>
    </row>
    <row r="191" spans="1:27" ht="19.95" customHeight="1">
      <c r="A191" s="3" t="str">
        <f>"Fokker Services B.V."</f>
        <v>Fokker Services B.V.</v>
      </c>
      <c r="B191" s="4" t="str">
        <f>"Fokker Services B.V."</f>
        <v>Fokker Services B.V.</v>
      </c>
      <c r="C191" s="3" t="str">
        <f>"Nieuw Vennep"</f>
        <v>Nieuw Vennep</v>
      </c>
      <c r="D191" s="3" t="str">
        <f>""</f>
        <v/>
      </c>
      <c r="E191" s="3" t="str">
        <f>"The Netherlands"</f>
        <v>The Netherlands</v>
      </c>
      <c r="F191" s="3" t="str">
        <f>"Fokker 100"</f>
        <v>Fokker 100</v>
      </c>
      <c r="G191" s="3" t="str">
        <f>"Narrow-Body Turbofans"</f>
        <v>Narrow-Body Turbofans</v>
      </c>
      <c r="H191" s="8" t="str">
        <f t="shared" si="118"/>
        <v>2</v>
      </c>
      <c r="I191" s="8" t="str">
        <f>"100-109"</f>
        <v>100-109</v>
      </c>
      <c r="J191" s="8" t="str">
        <f>"92.1"</f>
        <v>92.1</v>
      </c>
      <c r="K191" s="8" t="str">
        <f>"1,006"</f>
        <v>1,006</v>
      </c>
      <c r="L191" s="8" t="str">
        <f>"116.6"</f>
        <v>116.6</v>
      </c>
      <c r="M191" s="8" t="str">
        <f>"27.9"</f>
        <v>27.9</v>
      </c>
      <c r="N191" s="8" t="str">
        <f>"54,558"</f>
        <v>54,558</v>
      </c>
      <c r="O191" s="8" t="str">
        <f>"101,000"</f>
        <v>101,000</v>
      </c>
      <c r="P191" s="8" t="str">
        <f>"88,000"</f>
        <v>88,000</v>
      </c>
      <c r="Q191" s="8" t="str">
        <f>"5,910"</f>
        <v>5,910</v>
      </c>
      <c r="R191" s="3" t="str">
        <f>"2 X Rolls-Royce Tay 650"</f>
        <v>2 X Rolls-Royce Tay 650</v>
      </c>
      <c r="S191" s="3"/>
      <c r="T191" s="3"/>
      <c r="U191" s="1">
        <f t="shared" si="86"/>
        <v>100.3976143141153</v>
      </c>
      <c r="V191" s="8" t="str">
        <f>"M 0.77"</f>
        <v>M 0.77</v>
      </c>
      <c r="W191" s="8" t="str">
        <f>""</f>
        <v/>
      </c>
      <c r="X191" s="8" t="str">
        <f>"4,280"</f>
        <v>4,280</v>
      </c>
      <c r="Y191" s="8" t="str">
        <f>"4,180"</f>
        <v>4,180</v>
      </c>
      <c r="Z191" s="8" t="str">
        <f>"2,100"</f>
        <v>2,100</v>
      </c>
      <c r="AA191" s="3" t="str">
        <f t="shared" si="119"/>
        <v>Out of production.</v>
      </c>
    </row>
    <row r="192" spans="1:27" ht="19.95" customHeight="1">
      <c r="A192" s="1" t="str">
        <f>"Fokker Services B.V."</f>
        <v>Fokker Services B.V.</v>
      </c>
      <c r="B192" s="2" t="str">
        <f>"Fokker Services B.V."</f>
        <v>Fokker Services B.V.</v>
      </c>
      <c r="C192" s="1" t="str">
        <f>"Nieuw Vennep"</f>
        <v>Nieuw Vennep</v>
      </c>
      <c r="D192" s="1" t="str">
        <f>""</f>
        <v/>
      </c>
      <c r="E192" s="1" t="str">
        <f>"The Netherlands"</f>
        <v>The Netherlands</v>
      </c>
      <c r="F192" s="1" t="str">
        <f>"Fokker 70"</f>
        <v>Fokker 70</v>
      </c>
      <c r="G192" s="1" t="str">
        <f>"Narrow-Body Turbofans"</f>
        <v>Narrow-Body Turbofans</v>
      </c>
      <c r="H192" s="7" t="str">
        <f t="shared" si="118"/>
        <v>2</v>
      </c>
      <c r="I192" s="7" t="str">
        <f>"70-80"</f>
        <v>70-80</v>
      </c>
      <c r="J192" s="7" t="str">
        <f>"92.1"</f>
        <v>92.1</v>
      </c>
      <c r="K192" s="7" t="str">
        <f>"1,006"</f>
        <v>1,006</v>
      </c>
      <c r="L192" s="7" t="str">
        <f>"101.4"</f>
        <v>101.4</v>
      </c>
      <c r="M192" s="7" t="str">
        <f>"27.9"</f>
        <v>27.9</v>
      </c>
      <c r="N192" s="7" t="str">
        <f>"50,230"</f>
        <v>50,230</v>
      </c>
      <c r="O192" s="7" t="str">
        <f>"92,000"</f>
        <v>92,000</v>
      </c>
      <c r="P192" s="7" t="str">
        <f>"81,000"</f>
        <v>81,000</v>
      </c>
      <c r="Q192" s="7" t="str">
        <f>"4,510"</f>
        <v>4,510</v>
      </c>
      <c r="R192" s="1" t="str">
        <f>"2 X Rolls-Royce Tay 620"</f>
        <v>2 X Rolls-Royce Tay 620</v>
      </c>
      <c r="S192" s="1"/>
      <c r="T192" s="1"/>
      <c r="U192" s="1">
        <f t="shared" si="86"/>
        <v>91.451292246520879</v>
      </c>
      <c r="V192" s="7" t="str">
        <f>"M 0.77"</f>
        <v>M 0.77</v>
      </c>
      <c r="W192" s="7" t="str">
        <f>""</f>
        <v/>
      </c>
      <c r="X192" s="7" t="str">
        <f>"3,545"</f>
        <v>3,545</v>
      </c>
      <c r="Y192" s="7" t="str">
        <f>"3,855"</f>
        <v>3,855</v>
      </c>
      <c r="Z192" s="7" t="str">
        <f>"2,300"</f>
        <v>2,300</v>
      </c>
      <c r="AA192" s="1" t="str">
        <f t="shared" si="119"/>
        <v>Out of production.</v>
      </c>
    </row>
    <row r="193" spans="1:27" ht="19.95" customHeight="1">
      <c r="A193" s="3" t="str">
        <f>"Harbin Aircraft Industry Group"</f>
        <v>Harbin Aircraft Industry Group</v>
      </c>
      <c r="B193" s="4" t="str">
        <f>"Harbin Aircraft Industry Group"</f>
        <v>Harbin Aircraft Industry Group</v>
      </c>
      <c r="C193" s="3" t="str">
        <f>"Harbin"</f>
        <v>Harbin</v>
      </c>
      <c r="D193" s="3" t="str">
        <f>"Heilongjiang"</f>
        <v>Heilongjiang</v>
      </c>
      <c r="E193" s="3" t="str">
        <f>"China"</f>
        <v>China</v>
      </c>
      <c r="F193" s="3" t="str">
        <f>"Yun-12 (Y-12)"</f>
        <v>Yun-12 (Y-12)</v>
      </c>
      <c r="G193" s="3" t="str">
        <f t="shared" ref="G193:G199" si="121">"Turboprops"</f>
        <v>Turboprops</v>
      </c>
      <c r="H193" s="8" t="str">
        <f t="shared" si="118"/>
        <v>2</v>
      </c>
      <c r="I193" s="8" t="str">
        <f>"19"</f>
        <v>19</v>
      </c>
      <c r="J193" s="8" t="str">
        <f>"56.5"</f>
        <v>56.5</v>
      </c>
      <c r="K193" s="8" t="str">
        <f>"368.9"</f>
        <v>368.9</v>
      </c>
      <c r="L193" s="8" t="str">
        <f>"48.7"</f>
        <v>48.7</v>
      </c>
      <c r="M193" s="8" t="str">
        <f>"17.3"</f>
        <v>17.3</v>
      </c>
      <c r="N193" s="8" t="str">
        <f>"6,182"</f>
        <v>6,182</v>
      </c>
      <c r="O193" s="8" t="str">
        <f>"12,100"</f>
        <v>12,100</v>
      </c>
      <c r="P193" s="8" t="str">
        <f>"11,684"</f>
        <v>11,684</v>
      </c>
      <c r="Q193" s="8" t="str">
        <f>"3,750"</f>
        <v>3,750</v>
      </c>
      <c r="R193" s="3" t="str">
        <f>"2 X Pratt &amp; Whitney Canada PT6A-11"</f>
        <v>2 X Pratt &amp; Whitney Canada PT6A-11</v>
      </c>
      <c r="S193" s="3"/>
      <c r="T193" s="3"/>
      <c r="U193" s="1">
        <f t="shared" si="86"/>
        <v>32.800216860937923</v>
      </c>
      <c r="V193" s="8" t="str">
        <f>"205"</f>
        <v>205</v>
      </c>
      <c r="W193" s="8" t="str">
        <f>"156"</f>
        <v>156</v>
      </c>
      <c r="X193" s="8" t="str">
        <f>"1,395"</f>
        <v>1,395</v>
      </c>
      <c r="Y193" s="8" t="str">
        <f>"2,035"</f>
        <v>2,035</v>
      </c>
      <c r="Z193" s="8" t="str">
        <f>"837"</f>
        <v>837</v>
      </c>
      <c r="AA193" s="3" t="str">
        <f>"Harbin Aircraft Mfg. Corp., Heilongjiang, China."</f>
        <v>Harbin Aircraft Mfg. Corp., Heilongjiang, China.</v>
      </c>
    </row>
    <row r="194" spans="1:27" ht="19.95" customHeight="1">
      <c r="A194" s="1" t="str">
        <f>"Harbin Aircraft Industry Group"</f>
        <v>Harbin Aircraft Industry Group</v>
      </c>
      <c r="B194" s="2" t="str">
        <f>"Harbin Aircraft Industry Group"</f>
        <v>Harbin Aircraft Industry Group</v>
      </c>
      <c r="C194" s="1" t="str">
        <f>"Harbin"</f>
        <v>Harbin</v>
      </c>
      <c r="D194" s="1" t="str">
        <f>"Heilongjiang"</f>
        <v>Heilongjiang</v>
      </c>
      <c r="E194" s="1" t="str">
        <f>"China"</f>
        <v>China</v>
      </c>
      <c r="F194" s="1" t="str">
        <f>"Yun-12F (Y-12F)"</f>
        <v>Yun-12F (Y-12F)</v>
      </c>
      <c r="G194" s="1" t="str">
        <f t="shared" si="121"/>
        <v>Turboprops</v>
      </c>
      <c r="H194" s="7" t="str">
        <f>""</f>
        <v/>
      </c>
      <c r="I194" s="7" t="str">
        <f>"19"</f>
        <v>19</v>
      </c>
      <c r="J194" s="7" t="str">
        <f>""</f>
        <v/>
      </c>
      <c r="K194" s="7" t="str">
        <f>""</f>
        <v/>
      </c>
      <c r="L194" s="7" t="str">
        <f>""</f>
        <v/>
      </c>
      <c r="M194" s="7" t="str">
        <f>""</f>
        <v/>
      </c>
      <c r="N194" s="7" t="str">
        <f>""</f>
        <v/>
      </c>
      <c r="O194" s="7" t="str">
        <f>"18,500"</f>
        <v>18,500</v>
      </c>
      <c r="P194" s="7" t="str">
        <f>""</f>
        <v/>
      </c>
      <c r="Q194" s="7" t="str">
        <f>""</f>
        <v/>
      </c>
      <c r="R194" s="1" t="str">
        <f>"2 X Pratt &amp; Whitney Canada PT6A-65B"</f>
        <v>2 X Pratt &amp; Whitney Canada PT6A-65B</v>
      </c>
      <c r="S194" s="1"/>
      <c r="T194" s="1"/>
      <c r="U194" s="1" t="e">
        <f t="shared" si="86"/>
        <v>#VALUE!</v>
      </c>
      <c r="V194" s="7" t="str">
        <f>"300"</f>
        <v>300</v>
      </c>
      <c r="W194" s="7" t="str">
        <f>""</f>
        <v/>
      </c>
      <c r="X194" s="7" t="str">
        <f>""</f>
        <v/>
      </c>
      <c r="Y194" s="7" t="str">
        <f>""</f>
        <v/>
      </c>
      <c r="Z194" s="7" t="str">
        <f>""</f>
        <v/>
      </c>
      <c r="AA194" s="1" t="str">
        <f>"New design. Unrelated to earlier Y-12."</f>
        <v>New design. Unrelated to earlier Y-12.</v>
      </c>
    </row>
    <row r="195" spans="1:27" ht="19.95" customHeight="1">
      <c r="A195" s="3" t="str">
        <f>"Hawker Beechcraft Corp."</f>
        <v>Hawker Beechcraft Corp.</v>
      </c>
      <c r="B195" s="4" t="str">
        <f>"Hawker Beechcraft Corp."</f>
        <v>Hawker Beechcraft Corp.</v>
      </c>
      <c r="C195" s="3" t="str">
        <f>"Wichita"</f>
        <v>Wichita</v>
      </c>
      <c r="D195" s="3" t="str">
        <f>"Kansas"</f>
        <v>Kansas</v>
      </c>
      <c r="E195" s="3" t="str">
        <f>"United States"</f>
        <v>United States</v>
      </c>
      <c r="F195" s="3" t="str">
        <f>"Beech 1900C"</f>
        <v>Beech 1900C</v>
      </c>
      <c r="G195" s="3" t="str">
        <f t="shared" si="121"/>
        <v>Turboprops</v>
      </c>
      <c r="H195" s="8" t="str">
        <f>"2"</f>
        <v>2</v>
      </c>
      <c r="I195" s="8" t="str">
        <f>"19"</f>
        <v>19</v>
      </c>
      <c r="J195" s="8" t="str">
        <f>"54.5"</f>
        <v>54.5</v>
      </c>
      <c r="K195" s="8" t="str">
        <f>"303"</f>
        <v>303</v>
      </c>
      <c r="L195" s="8" t="str">
        <f>"57.9"</f>
        <v>57.9</v>
      </c>
      <c r="M195" s="8" t="str">
        <f>"14.3"</f>
        <v>14.3</v>
      </c>
      <c r="N195" s="8" t="str">
        <f>"10,150"</f>
        <v>10,150</v>
      </c>
      <c r="O195" s="8" t="str">
        <f>"17,600"</f>
        <v>17,600</v>
      </c>
      <c r="P195" s="8" t="str">
        <f>"16,720"</f>
        <v>16,720</v>
      </c>
      <c r="Q195" s="8" t="str">
        <f>"5,880"</f>
        <v>5,880</v>
      </c>
      <c r="R195" s="3" t="str">
        <f>"2 X Pratt &amp; Whitney Canada PT6A-65B"</f>
        <v>2 X Pratt &amp; Whitney Canada PT6A-65B</v>
      </c>
      <c r="S195" s="3"/>
      <c r="T195" s="3"/>
      <c r="U195" s="1">
        <f t="shared" si="86"/>
        <v>58.085808580858085</v>
      </c>
      <c r="V195" s="8" t="str">
        <f>"302"</f>
        <v>302</v>
      </c>
      <c r="W195" s="8" t="str">
        <f>"302"</f>
        <v>302</v>
      </c>
      <c r="X195" s="8" t="str">
        <f>"3,800"</f>
        <v>3,800</v>
      </c>
      <c r="Y195" s="8" t="str">
        <f>"2,413"</f>
        <v>2,413</v>
      </c>
      <c r="Z195" s="8" t="str">
        <f>"1,498"</f>
        <v>1,498</v>
      </c>
      <c r="AA195" s="3" t="str">
        <f>"Out of production."</f>
        <v>Out of production.</v>
      </c>
    </row>
    <row r="196" spans="1:27" ht="19.95" customHeight="1">
      <c r="A196" s="1" t="str">
        <f>"Hawker Beechcraft Corp."</f>
        <v>Hawker Beechcraft Corp.</v>
      </c>
      <c r="B196" s="2" t="str">
        <f>"Hawker Beechcraft Corp."</f>
        <v>Hawker Beechcraft Corp.</v>
      </c>
      <c r="C196" s="1" t="str">
        <f>"Wichita"</f>
        <v>Wichita</v>
      </c>
      <c r="D196" s="1" t="str">
        <f>"Kansas"</f>
        <v>Kansas</v>
      </c>
      <c r="E196" s="1" t="str">
        <f>"United States"</f>
        <v>United States</v>
      </c>
      <c r="F196" s="1" t="str">
        <f>"Beech 1900D"</f>
        <v>Beech 1900D</v>
      </c>
      <c r="G196" s="1" t="str">
        <f t="shared" si="121"/>
        <v>Turboprops</v>
      </c>
      <c r="H196" s="7" t="str">
        <f>"2"</f>
        <v>2</v>
      </c>
      <c r="I196" s="7" t="str">
        <f>"19"</f>
        <v>19</v>
      </c>
      <c r="J196" s="7" t="str">
        <f>"57.8"</f>
        <v>57.8</v>
      </c>
      <c r="K196" s="7" t="str">
        <f>"303"</f>
        <v>303</v>
      </c>
      <c r="L196" s="7" t="str">
        <f>"57.8"</f>
        <v>57.8</v>
      </c>
      <c r="M196" s="7" t="str">
        <f>"15"</f>
        <v>15</v>
      </c>
      <c r="N196" s="7" t="str">
        <f>"10,790"</f>
        <v>10,790</v>
      </c>
      <c r="O196" s="7" t="str">
        <f>"17,120"</f>
        <v>17,120</v>
      </c>
      <c r="P196" s="7" t="str">
        <f>"16,765"</f>
        <v>16,765</v>
      </c>
      <c r="Q196" s="7" t="str">
        <f>"4,375"</f>
        <v>4,375</v>
      </c>
      <c r="R196" s="1" t="str">
        <f>"2 X Pratt &amp; Whitney Canada PT6A-67D"</f>
        <v>2 X Pratt &amp; Whitney Canada PT6A-67D</v>
      </c>
      <c r="S196" s="1"/>
      <c r="T196" s="1"/>
      <c r="U196" s="1">
        <f t="shared" si="86"/>
        <v>56.5016501650165</v>
      </c>
      <c r="V196" s="7" t="str">
        <f>"319"</f>
        <v>319</v>
      </c>
      <c r="W196" s="7" t="str">
        <f>"319"</f>
        <v>319</v>
      </c>
      <c r="X196" s="7" t="str">
        <f>"3,813"</f>
        <v>3,813</v>
      </c>
      <c r="Y196" s="7" t="str">
        <f>"2,790"</f>
        <v>2,790</v>
      </c>
      <c r="Z196" s="7" t="str">
        <f>"1,382"</f>
        <v>1,382</v>
      </c>
      <c r="AA196" s="1" t="str">
        <f>"Out of production."</f>
        <v>Out of production.</v>
      </c>
    </row>
    <row r="197" spans="1:27" ht="19.95" customHeight="1">
      <c r="A197" s="3" t="str">
        <f>"Hindustan Aeronautics Ltd."</f>
        <v>Hindustan Aeronautics Ltd.</v>
      </c>
      <c r="B197" s="4" t="str">
        <f>"Hindustan Aeronautics Ltd."</f>
        <v>Hindustan Aeronautics Ltd.</v>
      </c>
      <c r="C197" s="3" t="str">
        <f>"Bangalore"</f>
        <v>Bangalore</v>
      </c>
      <c r="D197" s="3" t="str">
        <f>""</f>
        <v/>
      </c>
      <c r="E197" s="3" t="str">
        <f>"India"</f>
        <v>India</v>
      </c>
      <c r="F197" s="3" t="str">
        <f>"HAL Dornier 228-201"</f>
        <v>HAL Dornier 228-201</v>
      </c>
      <c r="G197" s="3" t="str">
        <f t="shared" si="121"/>
        <v>Turboprops</v>
      </c>
      <c r="H197" s="8" t="str">
        <f>"2"</f>
        <v>2</v>
      </c>
      <c r="I197" s="8" t="str">
        <f>"19"</f>
        <v>19</v>
      </c>
      <c r="J197" s="8" t="str">
        <f>"55.8"</f>
        <v>55.8</v>
      </c>
      <c r="K197" s="8" t="str">
        <f>"344.4"</f>
        <v>344.4</v>
      </c>
      <c r="L197" s="8" t="str">
        <f>"54.3"</f>
        <v>54.3</v>
      </c>
      <c r="M197" s="8" t="str">
        <f>"15.9"</f>
        <v>15.9</v>
      </c>
      <c r="N197" s="8" t="str">
        <f>"8,128"</f>
        <v>8,128</v>
      </c>
      <c r="O197" s="8" t="str">
        <f>"14,110"</f>
        <v>14,110</v>
      </c>
      <c r="P197" s="8" t="str">
        <f>"13,448"</f>
        <v>13,448</v>
      </c>
      <c r="Q197" s="8" t="str">
        <f>"4,195"</f>
        <v>4,195</v>
      </c>
      <c r="R197" s="3" t="str">
        <f>"2 X Honeywell TPE-331-5-252D"</f>
        <v>2 X Honeywell TPE-331-5-252D</v>
      </c>
      <c r="S197" s="3"/>
      <c r="T197" s="3"/>
      <c r="U197" s="1">
        <f t="shared" si="86"/>
        <v>40.969802555168414</v>
      </c>
      <c r="V197" s="8" t="str">
        <f>"266"</f>
        <v>266</v>
      </c>
      <c r="W197" s="8" t="str">
        <f>"208"</f>
        <v>208</v>
      </c>
      <c r="X197" s="8" t="str">
        <f>"2,128"</f>
        <v>2,128</v>
      </c>
      <c r="Y197" s="8" t="str">
        <f>"1,742"</f>
        <v>1,742</v>
      </c>
      <c r="Z197" s="8" t="str">
        <f>""</f>
        <v/>
      </c>
      <c r="AA197" s="3" t="str">
        <f>"In production."</f>
        <v>In production.</v>
      </c>
    </row>
    <row r="198" spans="1:27" ht="19.95" customHeight="1">
      <c r="A198" s="1" t="str">
        <f>"Komsomolsk-on-Amur Aircraft Production Association (KNAAPO)"</f>
        <v>Komsomolsk-on-Amur Aircraft Production Association (KNAAPO)</v>
      </c>
      <c r="B198" s="2" t="str">
        <f>"Komsomolsk-on-Amur Aircraft Production Association (KNAAPO)"</f>
        <v>Komsomolsk-on-Amur Aircraft Production Association (KNAAPO)</v>
      </c>
      <c r="C198" s="1" t="str">
        <f>"Komsomolsk-on-Amur"</f>
        <v>Komsomolsk-on-Amur</v>
      </c>
      <c r="D198" s="1" t="str">
        <f>""</f>
        <v/>
      </c>
      <c r="E198" s="1" t="str">
        <f>"Russia"</f>
        <v>Russia</v>
      </c>
      <c r="F198" s="1" t="str">
        <f>"Su-80GP"</f>
        <v>Su-80GP</v>
      </c>
      <c r="G198" s="1" t="str">
        <f t="shared" si="121"/>
        <v>Turboprops</v>
      </c>
      <c r="H198" s="7" t="str">
        <f>"2"</f>
        <v>2</v>
      </c>
      <c r="I198" s="7" t="str">
        <f>"30"</f>
        <v>30</v>
      </c>
      <c r="J198" s="7" t="str">
        <f>"76.5"</f>
        <v>76.5</v>
      </c>
      <c r="K198" s="7" t="str">
        <f>"478"</f>
        <v>478</v>
      </c>
      <c r="L198" s="7" t="str">
        <f>"60.3"</f>
        <v>60.3</v>
      </c>
      <c r="M198" s="7" t="str">
        <f>"19"</f>
        <v>19</v>
      </c>
      <c r="N198" s="7" t="str">
        <f>"22,110"</f>
        <v>22,110</v>
      </c>
      <c r="O198" s="7" t="str">
        <f>"31,240"</f>
        <v>31,240</v>
      </c>
      <c r="P198" s="7" t="str">
        <f>"30,975"</f>
        <v>30,975</v>
      </c>
      <c r="Q198" s="7" t="str">
        <f>"7,275"</f>
        <v>7,275</v>
      </c>
      <c r="R198" s="1" t="str">
        <f>"2 X GE CT7-9B"</f>
        <v>2 X GE CT7-9B</v>
      </c>
      <c r="S198" s="1"/>
      <c r="T198" s="1"/>
      <c r="U198" s="1">
        <f t="shared" si="86"/>
        <v>65.355648535564853</v>
      </c>
      <c r="V198" s="7" t="str">
        <f>"290"</f>
        <v>290</v>
      </c>
      <c r="W198" s="7" t="str">
        <f>"258"</f>
        <v>258</v>
      </c>
      <c r="X198" s="7" t="str">
        <f>"2,953"</f>
        <v>2,953</v>
      </c>
      <c r="Y198" s="7" t="str">
        <f>"1,739"</f>
        <v>1,739</v>
      </c>
      <c r="Z198" s="7" t="str">
        <f>"870"</f>
        <v>870</v>
      </c>
      <c r="AA198" s="1" t="str">
        <f>"First deliveries 2007."</f>
        <v>First deliveries 2007.</v>
      </c>
    </row>
    <row r="199" spans="1:27" ht="19.95" customHeight="1">
      <c r="A199" s="3" t="str">
        <f>"Lockheed Martin Aeronautics Co."</f>
        <v>Lockheed Martin Aeronautics Co.</v>
      </c>
      <c r="B199" s="4" t="str">
        <f>"Lockheed Martin Aeronautics Co."</f>
        <v>Lockheed Martin Aeronautics Co.</v>
      </c>
      <c r="C199" s="3" t="str">
        <f>"Ft. Worth"</f>
        <v>Ft. Worth</v>
      </c>
      <c r="D199" s="3" t="str">
        <f>"Texas"</f>
        <v>Texas</v>
      </c>
      <c r="E199" s="3" t="str">
        <f>"United States"</f>
        <v>United States</v>
      </c>
      <c r="F199" s="3" t="str">
        <f>"L-100-30 Super Hercules"</f>
        <v>L-100-30 Super Hercules</v>
      </c>
      <c r="G199" s="3" t="str">
        <f t="shared" si="121"/>
        <v>Turboprops</v>
      </c>
      <c r="H199" s="8" t="str">
        <f>"4"</f>
        <v>4</v>
      </c>
      <c r="I199" s="8" t="str">
        <f>"0"</f>
        <v>0</v>
      </c>
      <c r="J199" s="8" t="str">
        <f>"132.6"</f>
        <v>132.6</v>
      </c>
      <c r="K199" s="8" t="str">
        <f>"1,745"</f>
        <v>1,745</v>
      </c>
      <c r="L199" s="8" t="str">
        <f>"112.7"</f>
        <v>112.7</v>
      </c>
      <c r="M199" s="8" t="str">
        <f>"38.4"</f>
        <v>38.4</v>
      </c>
      <c r="N199" s="8" t="str">
        <f>"77,736"</f>
        <v>77,736</v>
      </c>
      <c r="O199" s="8" t="str">
        <f>"155,800"</f>
        <v>155,800</v>
      </c>
      <c r="P199" s="8" t="str">
        <f>"135,000"</f>
        <v>135,000</v>
      </c>
      <c r="Q199" s="8" t="str">
        <f>"51,054"</f>
        <v>51,054</v>
      </c>
      <c r="R199" s="3" t="str">
        <f>"4 X Allison 501-D22A"</f>
        <v>4 X Allison 501-D22A</v>
      </c>
      <c r="S199" s="3"/>
      <c r="T199" s="3"/>
      <c r="U199" s="1">
        <f t="shared" si="86"/>
        <v>89.283667621776502</v>
      </c>
      <c r="V199" s="8" t="str">
        <f>"387"</f>
        <v>387</v>
      </c>
      <c r="W199" s="8" t="str">
        <f>"363"</f>
        <v>363</v>
      </c>
      <c r="X199" s="8" t="str">
        <f>"6,000"</f>
        <v>6,000</v>
      </c>
      <c r="Y199" s="8" t="str">
        <f>"4,850"</f>
        <v>4,850</v>
      </c>
      <c r="Z199" s="8" t="str">
        <f>"5,240"</f>
        <v>5,240</v>
      </c>
      <c r="AA199" s="3" t="str">
        <f>"Out of production."</f>
        <v>Out of production.</v>
      </c>
    </row>
    <row r="200" spans="1:27" ht="19.95" customHeight="1">
      <c r="A200" s="1" t="str">
        <f>"Mitsubishi Heavy Industries, Ltd."</f>
        <v>Mitsubishi Heavy Industries, Ltd.</v>
      </c>
      <c r="B200" s="2" t="str">
        <f>"Mitsubishi Heavy Industries, Ltd."</f>
        <v>Mitsubishi Heavy Industries, Ltd.</v>
      </c>
      <c r="C200" s="1" t="str">
        <f>"Tokyo"</f>
        <v>Tokyo</v>
      </c>
      <c r="D200" s="1" t="str">
        <f>""</f>
        <v/>
      </c>
      <c r="E200" s="1" t="str">
        <f>"Japan"</f>
        <v>Japan</v>
      </c>
      <c r="F200" s="1" t="str">
        <f>"MRJ70"</f>
        <v>MRJ70</v>
      </c>
      <c r="G200" s="1" t="str">
        <f>"Narrow-Body Turbofans"</f>
        <v>Narrow-Body Turbofans</v>
      </c>
      <c r="H200" s="7" t="str">
        <f>""</f>
        <v/>
      </c>
      <c r="I200" s="7" t="str">
        <f>"70-80"</f>
        <v>70-80</v>
      </c>
      <c r="J200" s="7" t="str">
        <f>"101.4"</f>
        <v>101.4</v>
      </c>
      <c r="K200" s="7" t="str">
        <f>""</f>
        <v/>
      </c>
      <c r="L200" s="7" t="str">
        <f>"107.6"</f>
        <v>107.6</v>
      </c>
      <c r="M200" s="7" t="str">
        <f>"32.8"</f>
        <v>32.8</v>
      </c>
      <c r="N200" s="7" t="str">
        <f>"47,800"</f>
        <v>47,800</v>
      </c>
      <c r="O200" s="7" t="str">
        <f>"81,200"</f>
        <v>81,200</v>
      </c>
      <c r="P200" s="7" t="str">
        <f>"79,800"</f>
        <v>79,800</v>
      </c>
      <c r="Q200" s="7" t="str">
        <f>""</f>
        <v/>
      </c>
      <c r="R200" s="1" t="str">
        <f>"2 X Pratt &amp; Whitney PW1217G"</f>
        <v>2 X Pratt &amp; Whitney PW1217G</v>
      </c>
      <c r="S200" s="1"/>
      <c r="T200" s="1"/>
      <c r="U200" s="1" t="e">
        <f t="shared" si="86"/>
        <v>#VALUE!</v>
      </c>
      <c r="V200" s="7" t="str">
        <f>""</f>
        <v/>
      </c>
      <c r="W200" s="7" t="str">
        <f>"M 0.78"</f>
        <v>M 0.78</v>
      </c>
      <c r="X200" s="7" t="str">
        <f>"4,560"</f>
        <v>4,560</v>
      </c>
      <c r="Y200" s="7" t="str">
        <f>"4,560"</f>
        <v>4,560</v>
      </c>
      <c r="Z200" s="7" t="str">
        <f>"918"</f>
        <v>918</v>
      </c>
      <c r="AA200" s="1" t="str">
        <f>"In development."</f>
        <v>In development.</v>
      </c>
    </row>
    <row r="201" spans="1:27" ht="19.95" customHeight="1">
      <c r="A201" s="3" t="str">
        <f>"Mitsubishi Heavy Industries, Ltd."</f>
        <v>Mitsubishi Heavy Industries, Ltd.</v>
      </c>
      <c r="B201" s="4" t="str">
        <f>"Mitsubishi Heavy Industries, Ltd."</f>
        <v>Mitsubishi Heavy Industries, Ltd.</v>
      </c>
      <c r="C201" s="3" t="str">
        <f>"Tokyo"</f>
        <v>Tokyo</v>
      </c>
      <c r="D201" s="3" t="str">
        <f>""</f>
        <v/>
      </c>
      <c r="E201" s="3" t="str">
        <f>"Japan"</f>
        <v>Japan</v>
      </c>
      <c r="F201" s="3" t="str">
        <f>"MRJ90"</f>
        <v>MRJ90</v>
      </c>
      <c r="G201" s="3" t="str">
        <f>"Narrow-Body Turbofans"</f>
        <v>Narrow-Body Turbofans</v>
      </c>
      <c r="H201" s="8" t="str">
        <f>""</f>
        <v/>
      </c>
      <c r="I201" s="8" t="str">
        <f>"86-96"</f>
        <v>86-96</v>
      </c>
      <c r="J201" s="8" t="str">
        <f>"101.4"</f>
        <v>101.4</v>
      </c>
      <c r="K201" s="8" t="str">
        <f>""</f>
        <v/>
      </c>
      <c r="L201" s="8" t="str">
        <f>"117.5"</f>
        <v>117.5</v>
      </c>
      <c r="M201" s="8" t="str">
        <f>"32.8"</f>
        <v>32.8</v>
      </c>
      <c r="N201" s="8" t="str">
        <f>"49,800"</f>
        <v>49,800</v>
      </c>
      <c r="O201" s="8" t="str">
        <f>"87,300"</f>
        <v>87,300</v>
      </c>
      <c r="P201" s="8" t="str">
        <f>"84,900"</f>
        <v>84,900</v>
      </c>
      <c r="Q201" s="8" t="str">
        <f>""</f>
        <v/>
      </c>
      <c r="R201" s="3" t="str">
        <f>"2 X Pratt &amp; Whitney PW1217G"</f>
        <v>2 X Pratt &amp; Whitney PW1217G</v>
      </c>
      <c r="S201" s="3"/>
      <c r="T201" s="3"/>
      <c r="U201" s="1" t="e">
        <f t="shared" ref="U201:U218" si="122">O201/K201</f>
        <v>#VALUE!</v>
      </c>
      <c r="V201" s="8" t="str">
        <f>""</f>
        <v/>
      </c>
      <c r="W201" s="8" t="str">
        <f>"M 0.78"</f>
        <v>M 0.78</v>
      </c>
      <c r="X201" s="8" t="str">
        <f>"4,790"</f>
        <v>4,790</v>
      </c>
      <c r="Y201" s="8" t="str">
        <f>"4,760"</f>
        <v>4,760</v>
      </c>
      <c r="Z201" s="8" t="str">
        <f>"998"</f>
        <v>998</v>
      </c>
      <c r="AA201" s="3" t="str">
        <f>"In development."</f>
        <v>In development.</v>
      </c>
    </row>
    <row r="202" spans="1:27" ht="19.95" customHeight="1">
      <c r="A202" s="1" t="str">
        <f>"PT. Dirgantara Indonesia"</f>
        <v>PT. Dirgantara Indonesia</v>
      </c>
      <c r="B202" s="2" t="str">
        <f>"PT. Dirgantara Indonesia"</f>
        <v>PT. Dirgantara Indonesia</v>
      </c>
      <c r="C202" s="1" t="str">
        <f>"Bandung"</f>
        <v>Bandung</v>
      </c>
      <c r="D202" s="1" t="str">
        <f>""</f>
        <v/>
      </c>
      <c r="E202" s="1" t="str">
        <f>"Indonesia"</f>
        <v>Indonesia</v>
      </c>
      <c r="F202" s="1" t="str">
        <f>"N-250"</f>
        <v>N-250</v>
      </c>
      <c r="G202" s="1" t="str">
        <f t="shared" ref="G202:G210" si="123">"Turboprops"</f>
        <v>Turboprops</v>
      </c>
      <c r="H202" s="7" t="str">
        <f>"2"</f>
        <v>2</v>
      </c>
      <c r="I202" s="7" t="str">
        <f>"64-68"</f>
        <v>64-68</v>
      </c>
      <c r="J202" s="7" t="str">
        <f>"91.9"</f>
        <v>91.9</v>
      </c>
      <c r="K202" s="7" t="str">
        <f>"699.7"</f>
        <v>699.7</v>
      </c>
      <c r="L202" s="7" t="str">
        <f>"92.3"</f>
        <v>92.3</v>
      </c>
      <c r="M202" s="7" t="str">
        <f>"28.9"</f>
        <v>28.9</v>
      </c>
      <c r="N202" s="7" t="str">
        <f>"34,612"</f>
        <v>34,612</v>
      </c>
      <c r="O202" s="7" t="str">
        <f>"54,894"</f>
        <v>54,894</v>
      </c>
      <c r="P202" s="7" t="str">
        <f>"54,234"</f>
        <v>54,234</v>
      </c>
      <c r="Q202" s="7" t="str">
        <f>"4,250"</f>
        <v>4,250</v>
      </c>
      <c r="R202" s="1" t="str">
        <f>"2 X Rolls-Royce AE2100C"</f>
        <v>2 X Rolls-Royce AE2100C</v>
      </c>
      <c r="S202" s="1"/>
      <c r="T202" s="1"/>
      <c r="U202" s="1">
        <f t="shared" si="122"/>
        <v>78.45362298127769</v>
      </c>
      <c r="V202" s="7" t="str">
        <f>"398"</f>
        <v>398</v>
      </c>
      <c r="W202" s="7" t="str">
        <f>"370"</f>
        <v>370</v>
      </c>
      <c r="X202" s="7" t="str">
        <f>"3,900"</f>
        <v>3,900</v>
      </c>
      <c r="Y202" s="7" t="str">
        <f>"3,800"</f>
        <v>3,800</v>
      </c>
      <c r="Z202" s="7" t="str">
        <f>"1,221"</f>
        <v>1,221</v>
      </c>
      <c r="AA202" s="1" t="str">
        <f>""</f>
        <v/>
      </c>
    </row>
    <row r="203" spans="1:27" ht="19.95" customHeight="1">
      <c r="A203" s="3" t="str">
        <f>"Pilatus Aircraft Ltd."</f>
        <v>Pilatus Aircraft Ltd.</v>
      </c>
      <c r="B203" s="4" t="str">
        <f>"Pilatus Aircraft Ltd."</f>
        <v>Pilatus Aircraft Ltd.</v>
      </c>
      <c r="C203" s="3" t="str">
        <f>"Stans"</f>
        <v>Stans</v>
      </c>
      <c r="D203" s="3" t="str">
        <f>""</f>
        <v/>
      </c>
      <c r="E203" s="3" t="str">
        <f>"Switzerland"</f>
        <v>Switzerland</v>
      </c>
      <c r="F203" s="3" t="str">
        <f>"PC-12 NG"</f>
        <v>PC-12 NG</v>
      </c>
      <c r="G203" s="3" t="str">
        <f t="shared" si="123"/>
        <v>Turboprops</v>
      </c>
      <c r="H203" s="8" t="str">
        <f>"1"</f>
        <v>1</v>
      </c>
      <c r="I203" s="8" t="str">
        <f>"10"</f>
        <v>10</v>
      </c>
      <c r="J203" s="8" t="str">
        <f>"53.4"</f>
        <v>53.4</v>
      </c>
      <c r="K203" s="8" t="str">
        <f>"277.8"</f>
        <v>277.8</v>
      </c>
      <c r="L203" s="8" t="str">
        <f>"47.3"</f>
        <v>47.3</v>
      </c>
      <c r="M203" s="8" t="str">
        <f>"14"</f>
        <v>14</v>
      </c>
      <c r="N203" s="8" t="str">
        <f>"6,782"</f>
        <v>6,782</v>
      </c>
      <c r="O203" s="8" t="str">
        <f>"10,450"</f>
        <v>10,450</v>
      </c>
      <c r="P203" s="8" t="str">
        <f>"9,920"</f>
        <v>9,920</v>
      </c>
      <c r="Q203" s="8" t="str">
        <f>"2,257"</f>
        <v>2,257</v>
      </c>
      <c r="R203" s="3" t="str">
        <f>"1 X Pratt &amp; Whitney Canada PT6A-67P"</f>
        <v>1 X Pratt &amp; Whitney Canada PT6A-67P</v>
      </c>
      <c r="S203" s="3"/>
      <c r="T203" s="3"/>
      <c r="U203" s="1">
        <f t="shared" si="122"/>
        <v>37.616990640748739</v>
      </c>
      <c r="V203" s="8" t="str">
        <f>"280"</f>
        <v>280</v>
      </c>
      <c r="W203" s="8" t="str">
        <f>"280"</f>
        <v>280</v>
      </c>
      <c r="X203" s="8" t="str">
        <f>"2,650"</f>
        <v>2,650</v>
      </c>
      <c r="Y203" s="8" t="str">
        <f>"1,830"</f>
        <v>1,830</v>
      </c>
      <c r="Z203" s="8" t="str">
        <f>"1,795"</f>
        <v>1,795</v>
      </c>
      <c r="AA203" s="3" t="str">
        <f>"In production."</f>
        <v>In production.</v>
      </c>
    </row>
    <row r="204" spans="1:27" ht="19.95" customHeight="1">
      <c r="A204" s="1" t="str">
        <f>"RUAG Aerospace"</f>
        <v>RUAG Aerospace</v>
      </c>
      <c r="B204" s="2" t="str">
        <f>"RUAG Aerospace"</f>
        <v>RUAG Aerospace</v>
      </c>
      <c r="C204" s="1" t="str">
        <f>"Emmen"</f>
        <v>Emmen</v>
      </c>
      <c r="D204" s="1" t="str">
        <f>""</f>
        <v/>
      </c>
      <c r="E204" s="1" t="str">
        <f>"Switzerland"</f>
        <v>Switzerland</v>
      </c>
      <c r="F204" s="1" t="str">
        <f>"Do228 NG"</f>
        <v>Do228 NG</v>
      </c>
      <c r="G204" s="1" t="str">
        <f t="shared" si="123"/>
        <v>Turboprops</v>
      </c>
      <c r="H204" s="7" t="str">
        <f t="shared" ref="H204:H209" si="124">"2"</f>
        <v>2</v>
      </c>
      <c r="I204" s="7" t="str">
        <f>"19"</f>
        <v>19</v>
      </c>
      <c r="J204" s="7" t="str">
        <f>"557"</f>
        <v>557</v>
      </c>
      <c r="K204" s="7" t="str">
        <f>"344.3"</f>
        <v>344.3</v>
      </c>
      <c r="L204" s="7" t="str">
        <f>"54.3"</f>
        <v>54.3</v>
      </c>
      <c r="M204" s="7" t="str">
        <f>"15.9"</f>
        <v>15.9</v>
      </c>
      <c r="N204" s="7" t="str">
        <f>"8,400"</f>
        <v>8,400</v>
      </c>
      <c r="O204" s="7" t="str">
        <f>"14,110"</f>
        <v>14,110</v>
      </c>
      <c r="P204" s="7" t="str">
        <f>"14,110"</f>
        <v>14,110</v>
      </c>
      <c r="Q204" s="7" t="str">
        <f>"4,700"</f>
        <v>4,700</v>
      </c>
      <c r="R204" s="1" t="str">
        <f>"2 X TPE 331-10GP"</f>
        <v>2 X TPE 331-10GP</v>
      </c>
      <c r="S204" s="1"/>
      <c r="T204" s="1"/>
      <c r="U204" s="1">
        <f t="shared" si="122"/>
        <v>40.981702004066221</v>
      </c>
      <c r="V204" s="7" t="str">
        <f>"234"</f>
        <v>234</v>
      </c>
      <c r="W204" s="7" t="str">
        <f>"234"</f>
        <v>234</v>
      </c>
      <c r="X204" s="7" t="str">
        <f>"2,200"</f>
        <v>2,200</v>
      </c>
      <c r="Y204" s="7" t="str">
        <f>"1,480"</f>
        <v>1,480</v>
      </c>
      <c r="Z204" s="7" t="str">
        <f>"1,200"</f>
        <v>1,200</v>
      </c>
      <c r="AA204" s="1" t="str">
        <f>"Production relaunch in 2007."</f>
        <v>Production relaunch in 2007.</v>
      </c>
    </row>
    <row r="205" spans="1:27" ht="19.95" customHeight="1">
      <c r="A205" s="3" t="str">
        <f t="shared" ref="A205:B209" si="125">"Saab AB"</f>
        <v>Saab AB</v>
      </c>
      <c r="B205" s="4" t="str">
        <f t="shared" si="125"/>
        <v>Saab AB</v>
      </c>
      <c r="C205" s="3" t="str">
        <f>"Stockholm"</f>
        <v>Stockholm</v>
      </c>
      <c r="D205" s="3" t="str">
        <f>""</f>
        <v/>
      </c>
      <c r="E205" s="3" t="str">
        <f>"Sweden"</f>
        <v>Sweden</v>
      </c>
      <c r="F205" s="3" t="str">
        <f>"Saab 2000"</f>
        <v>Saab 2000</v>
      </c>
      <c r="G205" s="3" t="str">
        <f t="shared" si="123"/>
        <v>Turboprops</v>
      </c>
      <c r="H205" s="8" t="str">
        <f t="shared" si="124"/>
        <v>2</v>
      </c>
      <c r="I205" s="8" t="str">
        <f>"50-58"</f>
        <v>50-58</v>
      </c>
      <c r="J205" s="8" t="str">
        <f>"81.3"</f>
        <v>81.3</v>
      </c>
      <c r="K205" s="8" t="str">
        <f>"600"</f>
        <v>600</v>
      </c>
      <c r="L205" s="8" t="str">
        <f>"89.5"</f>
        <v>89.5</v>
      </c>
      <c r="M205" s="8" t="str">
        <f>"25.3"</f>
        <v>25.3</v>
      </c>
      <c r="N205" s="8" t="str">
        <f>"30,425"</f>
        <v>30,425</v>
      </c>
      <c r="O205" s="8" t="str">
        <f>"50,265"</f>
        <v>50,265</v>
      </c>
      <c r="P205" s="8" t="str">
        <f>"48,500"</f>
        <v>48,500</v>
      </c>
      <c r="Q205" s="8" t="str">
        <f>"2,645"</f>
        <v>2,645</v>
      </c>
      <c r="R205" s="3" t="str">
        <f>"2 X Rolls-Royce (Allison) AE2100A"</f>
        <v>2 X Rolls-Royce (Allison) AE2100A</v>
      </c>
      <c r="S205" s="3"/>
      <c r="T205" s="3"/>
      <c r="U205" s="1">
        <f t="shared" si="122"/>
        <v>83.775000000000006</v>
      </c>
      <c r="V205" s="8" t="str">
        <f>"426"</f>
        <v>426</v>
      </c>
      <c r="W205" s="8" t="str">
        <f>"426"</f>
        <v>426</v>
      </c>
      <c r="X205" s="8" t="str">
        <f>"4,005"</f>
        <v>4,005</v>
      </c>
      <c r="Y205" s="8" t="str">
        <f>"4,193"</f>
        <v>4,193</v>
      </c>
      <c r="Z205" s="8" t="str">
        <f>"1,185"</f>
        <v>1,185</v>
      </c>
      <c r="AA205" s="3" t="str">
        <f>"Out of production. 63 produced."</f>
        <v>Out of production. 63 produced.</v>
      </c>
    </row>
    <row r="206" spans="1:27" ht="19.95" customHeight="1">
      <c r="A206" s="1" t="str">
        <f t="shared" si="125"/>
        <v>Saab AB</v>
      </c>
      <c r="B206" s="2" t="str">
        <f t="shared" si="125"/>
        <v>Saab AB</v>
      </c>
      <c r="C206" s="1" t="str">
        <f>"Stockholm"</f>
        <v>Stockholm</v>
      </c>
      <c r="D206" s="1" t="str">
        <f>""</f>
        <v/>
      </c>
      <c r="E206" s="1" t="str">
        <f>"Sweden"</f>
        <v>Sweden</v>
      </c>
      <c r="F206" s="1" t="str">
        <f>"Saab 340"</f>
        <v>Saab 340</v>
      </c>
      <c r="G206" s="1" t="str">
        <f t="shared" si="123"/>
        <v>Turboprops</v>
      </c>
      <c r="H206" s="7" t="str">
        <f t="shared" si="124"/>
        <v>2</v>
      </c>
      <c r="I206" s="7" t="str">
        <f>"30-37"</f>
        <v>30-37</v>
      </c>
      <c r="J206" s="7" t="str">
        <f>"70.3"</f>
        <v>70.3</v>
      </c>
      <c r="K206" s="7" t="str">
        <f>"450"</f>
        <v>450</v>
      </c>
      <c r="L206" s="7" t="str">
        <f>"64.8"</f>
        <v>64.8</v>
      </c>
      <c r="M206" s="7" t="str">
        <f>"23"</f>
        <v>23</v>
      </c>
      <c r="N206" s="7" t="str">
        <f>"18,600"</f>
        <v>18,600</v>
      </c>
      <c r="O206" s="7" t="str">
        <f>"29,000"</f>
        <v>29,000</v>
      </c>
      <c r="P206" s="7" t="str">
        <f>"28,500"</f>
        <v>28,500</v>
      </c>
      <c r="Q206" s="7" t="str">
        <f>"2,100"</f>
        <v>2,100</v>
      </c>
      <c r="R206" s="1" t="str">
        <f>"2 X GE CT7-9B2"</f>
        <v>2 X GE CT7-9B2</v>
      </c>
      <c r="S206" s="1"/>
      <c r="T206" s="1"/>
      <c r="U206" s="1">
        <f t="shared" si="122"/>
        <v>64.444444444444443</v>
      </c>
      <c r="V206" s="7" t="str">
        <f>"328"</f>
        <v>328</v>
      </c>
      <c r="W206" s="7" t="str">
        <f>"328"</f>
        <v>328</v>
      </c>
      <c r="X206" s="7" t="str">
        <f>"3,830"</f>
        <v>3,830</v>
      </c>
      <c r="Y206" s="7" t="str">
        <f>"3,258"</f>
        <v>3,258</v>
      </c>
      <c r="Z206" s="7" t="str">
        <f>"857"</f>
        <v>857</v>
      </c>
      <c r="AA206" s="1" t="str">
        <f>"Out of production. 459 produced."</f>
        <v>Out of production. 459 produced.</v>
      </c>
    </row>
    <row r="207" spans="1:27" ht="19.95" customHeight="1">
      <c r="A207" s="3" t="str">
        <f t="shared" si="125"/>
        <v>Saab AB</v>
      </c>
      <c r="B207" s="4" t="str">
        <f t="shared" si="125"/>
        <v>Saab AB</v>
      </c>
      <c r="C207" s="3" t="str">
        <f>"Stockholm"</f>
        <v>Stockholm</v>
      </c>
      <c r="D207" s="3" t="str">
        <f>""</f>
        <v/>
      </c>
      <c r="E207" s="3" t="str">
        <f>"Sweden"</f>
        <v>Sweden</v>
      </c>
      <c r="F207" s="3" t="str">
        <f>"Saab 340A"</f>
        <v>Saab 340A</v>
      </c>
      <c r="G207" s="3" t="str">
        <f t="shared" si="123"/>
        <v>Turboprops</v>
      </c>
      <c r="H207" s="8" t="str">
        <f t="shared" si="124"/>
        <v>2</v>
      </c>
      <c r="I207" s="8" t="str">
        <f>"32"</f>
        <v>32</v>
      </c>
      <c r="J207" s="8" t="str">
        <f>"70.3"</f>
        <v>70.3</v>
      </c>
      <c r="K207" s="8" t="str">
        <f>""</f>
        <v/>
      </c>
      <c r="L207" s="8" t="str">
        <f>"64.8"</f>
        <v>64.8</v>
      </c>
      <c r="M207" s="8" t="str">
        <f>"22.9"</f>
        <v>22.9</v>
      </c>
      <c r="N207" s="8" t="str">
        <f>"18,800"</f>
        <v>18,800</v>
      </c>
      <c r="O207" s="8" t="str">
        <f>"28,500"</f>
        <v>28,500</v>
      </c>
      <c r="P207" s="8" t="str">
        <f>"27,200"</f>
        <v>27,200</v>
      </c>
      <c r="Q207" s="8" t="str">
        <f>"6,900"</f>
        <v>6,900</v>
      </c>
      <c r="R207" s="3" t="str">
        <f>"2 X GE CT7-5A2"</f>
        <v>2 X GE CT7-5A2</v>
      </c>
      <c r="S207" s="3"/>
      <c r="T207" s="3"/>
      <c r="U207" s="1" t="e">
        <f t="shared" si="122"/>
        <v>#VALUE!</v>
      </c>
      <c r="V207" s="8" t="str">
        <f>"312"</f>
        <v>312</v>
      </c>
      <c r="W207" s="8" t="str">
        <f>"312"</f>
        <v>312</v>
      </c>
      <c r="X207" s="8" t="str">
        <f>"4,315"</f>
        <v>4,315</v>
      </c>
      <c r="Y207" s="8" t="str">
        <f>""</f>
        <v/>
      </c>
      <c r="Z207" s="8" t="str">
        <f>"547"</f>
        <v>547</v>
      </c>
      <c r="AA207" s="3" t="str">
        <f>"Out of production."</f>
        <v>Out of production.</v>
      </c>
    </row>
    <row r="208" spans="1:27" ht="19.95" customHeight="1">
      <c r="A208" s="1" t="str">
        <f t="shared" si="125"/>
        <v>Saab AB</v>
      </c>
      <c r="B208" s="2" t="str">
        <f t="shared" si="125"/>
        <v>Saab AB</v>
      </c>
      <c r="C208" s="1" t="str">
        <f>"Stockholm"</f>
        <v>Stockholm</v>
      </c>
      <c r="D208" s="1" t="str">
        <f>""</f>
        <v/>
      </c>
      <c r="E208" s="1" t="str">
        <f>"Sweden"</f>
        <v>Sweden</v>
      </c>
      <c r="F208" s="1" t="str">
        <f>"Saab 340A Cargo"</f>
        <v>Saab 340A Cargo</v>
      </c>
      <c r="G208" s="1" t="str">
        <f t="shared" si="123"/>
        <v>Turboprops</v>
      </c>
      <c r="H208" s="7" t="str">
        <f t="shared" si="124"/>
        <v>2</v>
      </c>
      <c r="I208" s="7" t="str">
        <f>"0"</f>
        <v>0</v>
      </c>
      <c r="J208" s="7" t="str">
        <f>"70.3"</f>
        <v>70.3</v>
      </c>
      <c r="K208" s="7" t="str">
        <f>""</f>
        <v/>
      </c>
      <c r="L208" s="7" t="str">
        <f>"64.8"</f>
        <v>64.8</v>
      </c>
      <c r="M208" s="7" t="str">
        <f>"22.9"</f>
        <v>22.9</v>
      </c>
      <c r="N208" s="7" t="str">
        <f>"17,200"</f>
        <v>17,200</v>
      </c>
      <c r="O208" s="7" t="str">
        <f>"28,500"</f>
        <v>28,500</v>
      </c>
      <c r="P208" s="7" t="str">
        <f>"27,200"</f>
        <v>27,200</v>
      </c>
      <c r="Q208" s="7" t="str">
        <f>"8,500"</f>
        <v>8,500</v>
      </c>
      <c r="R208" s="1" t="str">
        <f>"2 X GE CT7-5A2"</f>
        <v>2 X GE CT7-5A2</v>
      </c>
      <c r="S208" s="1"/>
      <c r="T208" s="1"/>
      <c r="U208" s="1" t="e">
        <f t="shared" si="122"/>
        <v>#VALUE!</v>
      </c>
      <c r="V208" s="7" t="str">
        <f>"312"</f>
        <v>312</v>
      </c>
      <c r="W208" s="7" t="str">
        <f>"312"</f>
        <v>312</v>
      </c>
      <c r="X208" s="7" t="str">
        <f>"4,315"</f>
        <v>4,315</v>
      </c>
      <c r="Y208" s="7" t="str">
        <f>""</f>
        <v/>
      </c>
      <c r="Z208" s="7" t="str">
        <f>"547"</f>
        <v>547</v>
      </c>
      <c r="AA208" s="1" t="str">
        <f>"Out of production."</f>
        <v>Out of production.</v>
      </c>
    </row>
    <row r="209" spans="1:27" ht="19.95" customHeight="1">
      <c r="A209" s="3" t="str">
        <f t="shared" si="125"/>
        <v>Saab AB</v>
      </c>
      <c r="B209" s="4" t="str">
        <f t="shared" si="125"/>
        <v>Saab AB</v>
      </c>
      <c r="C209" s="3" t="str">
        <f>"Stockholm"</f>
        <v>Stockholm</v>
      </c>
      <c r="D209" s="3" t="str">
        <f>""</f>
        <v/>
      </c>
      <c r="E209" s="3" t="str">
        <f>"Sweden"</f>
        <v>Sweden</v>
      </c>
      <c r="F209" s="3" t="str">
        <f>"Saab 340B/Bplus"</f>
        <v>Saab 340B/Bplus</v>
      </c>
      <c r="G209" s="3" t="str">
        <f t="shared" si="123"/>
        <v>Turboprops</v>
      </c>
      <c r="H209" s="8" t="str">
        <f t="shared" si="124"/>
        <v>2</v>
      </c>
      <c r="I209" s="8" t="str">
        <f>"34"</f>
        <v>34</v>
      </c>
      <c r="J209" s="8" t="str">
        <f>"70.3"</f>
        <v>70.3</v>
      </c>
      <c r="K209" s="8" t="str">
        <f>""</f>
        <v/>
      </c>
      <c r="L209" s="8" t="str">
        <f>"64.8"</f>
        <v>64.8</v>
      </c>
      <c r="M209" s="8" t="str">
        <f>"22.9"</f>
        <v>22.9</v>
      </c>
      <c r="N209" s="8" t="str">
        <f>"19,000"</f>
        <v>19,000</v>
      </c>
      <c r="O209" s="8" t="str">
        <f>"29,000"</f>
        <v>29,000</v>
      </c>
      <c r="P209" s="8" t="str">
        <f>"28,500"</f>
        <v>28,500</v>
      </c>
      <c r="Q209" s="8" t="str">
        <f>"7,500"</f>
        <v>7,500</v>
      </c>
      <c r="R209" s="3" t="str">
        <f>"2 X GE CT7-9B"</f>
        <v>2 X GE CT7-9B</v>
      </c>
      <c r="S209" s="3"/>
      <c r="T209" s="3"/>
      <c r="U209" s="1" t="e">
        <f t="shared" si="122"/>
        <v>#VALUE!</v>
      </c>
      <c r="V209" s="8" t="str">
        <f>"326"</f>
        <v>326</v>
      </c>
      <c r="W209" s="8" t="str">
        <f>"326"</f>
        <v>326</v>
      </c>
      <c r="X209" s="8" t="str">
        <f>"4,220"</f>
        <v>4,220</v>
      </c>
      <c r="Y209" s="8" t="str">
        <f>""</f>
        <v/>
      </c>
      <c r="Z209" s="8" t="str">
        <f>"558"</f>
        <v>558</v>
      </c>
      <c r="AA209" s="3" t="str">
        <f>"Out of production."</f>
        <v>Out of production.</v>
      </c>
    </row>
    <row r="210" spans="1:27" ht="19.95" customHeight="1">
      <c r="A210" s="1" t="str">
        <f>"Shaanxi Aircraft Industry (Group) Co., Ltd."</f>
        <v>Shaanxi Aircraft Industry (Group) Co., Ltd.</v>
      </c>
      <c r="B210" s="2" t="str">
        <f>"Shaanxi Aircraft Industry (Group) Co., Ltd."</f>
        <v>Shaanxi Aircraft Industry (Group) Co., Ltd.</v>
      </c>
      <c r="C210" s="1" t="str">
        <f>"Hanzhong"</f>
        <v>Hanzhong</v>
      </c>
      <c r="D210" s="1" t="str">
        <f>"Shaanxi"</f>
        <v>Shaanxi</v>
      </c>
      <c r="E210" s="1" t="str">
        <f>"China"</f>
        <v>China</v>
      </c>
      <c r="F210" s="1" t="str">
        <f>"Yun-8 (Y-8)"</f>
        <v>Yun-8 (Y-8)</v>
      </c>
      <c r="G210" s="1" t="str">
        <f t="shared" si="123"/>
        <v>Turboprops</v>
      </c>
      <c r="H210" s="7" t="str">
        <f>"3"</f>
        <v>3</v>
      </c>
      <c r="I210" s="7" t="str">
        <f>"96"</f>
        <v>96</v>
      </c>
      <c r="J210" s="7" t="str">
        <f>"124.8"</f>
        <v>124.8</v>
      </c>
      <c r="K210" s="7" t="str">
        <f>"1,311"</f>
        <v>1,311</v>
      </c>
      <c r="L210" s="7" t="str">
        <f>"111.7"</f>
        <v>111.7</v>
      </c>
      <c r="M210" s="7" t="str">
        <f>"36.7"</f>
        <v>36.7</v>
      </c>
      <c r="N210" s="7" t="str">
        <f>"78,265"</f>
        <v>78,265</v>
      </c>
      <c r="O210" s="7" t="str">
        <f>"134,480"</f>
        <v>134,480</v>
      </c>
      <c r="P210" s="7" t="str">
        <f>"127,866"</f>
        <v>127,866</v>
      </c>
      <c r="Q210" s="7" t="str">
        <f>"33,040"</f>
        <v>33,040</v>
      </c>
      <c r="R210" s="1" t="str">
        <f>"4 X WJ-6"</f>
        <v>4 X WJ-6</v>
      </c>
      <c r="S210" s="1"/>
      <c r="T210" s="1"/>
      <c r="U210" s="1">
        <f t="shared" si="122"/>
        <v>102.57818459191456</v>
      </c>
      <c r="V210" s="7" t="str">
        <f>"411"</f>
        <v>411</v>
      </c>
      <c r="W210" s="7" t="str">
        <f>"344"</f>
        <v>344</v>
      </c>
      <c r="X210" s="7" t="str">
        <f>"4,166"</f>
        <v>4,166</v>
      </c>
      <c r="Y210" s="7" t="str">
        <f>"3,445"</f>
        <v>3,445</v>
      </c>
      <c r="Z210" s="7" t="str">
        <f>"3,512"</f>
        <v>3,512</v>
      </c>
      <c r="AA210" s="1" t="str">
        <f>"Licensed An-12, Shanxi Aircraft Co., Shanxi, China."</f>
        <v>Licensed An-12, Shanxi Aircraft Co., Shanxi, China.</v>
      </c>
    </row>
    <row r="211" spans="1:27" ht="19.95" customHeight="1">
      <c r="A211" s="3" t="str">
        <f>"Sukhoi Design Bureau JSC"</f>
        <v>Sukhoi Design Bureau JSC</v>
      </c>
      <c r="B211" s="4" t="str">
        <f>"Sukhoi Design Bureau JSC"</f>
        <v>Sukhoi Design Bureau JSC</v>
      </c>
      <c r="C211" s="3" t="str">
        <f>"Moscow"</f>
        <v>Moscow</v>
      </c>
      <c r="D211" s="3" t="str">
        <f>""</f>
        <v/>
      </c>
      <c r="E211" s="3" t="str">
        <f>"Russia"</f>
        <v>Russia</v>
      </c>
      <c r="F211" s="3" t="str">
        <f>"Superjet 100-75"</f>
        <v>Superjet 100-75</v>
      </c>
      <c r="G211" s="3" t="str">
        <f>"Narrow-Body Turbofans"</f>
        <v>Narrow-Body Turbofans</v>
      </c>
      <c r="H211" s="8" t="str">
        <f>"2"</f>
        <v>2</v>
      </c>
      <c r="I211" s="8" t="str">
        <f>"75"</f>
        <v>75</v>
      </c>
      <c r="J211" s="8" t="str">
        <f>"91.2"</f>
        <v>91.2</v>
      </c>
      <c r="K211" s="8" t="str">
        <f>""</f>
        <v/>
      </c>
      <c r="L211" s="8" t="str">
        <f>"86.4"</f>
        <v>86.4</v>
      </c>
      <c r="M211" s="8" t="str">
        <f>"33.7"</f>
        <v>33.7</v>
      </c>
      <c r="N211" s="8" t="str">
        <f>""</f>
        <v/>
      </c>
      <c r="O211" s="8" t="str">
        <f>"85,585 basic / 93,210 long-range"</f>
        <v>85,585 basic / 93,210 long-range</v>
      </c>
      <c r="P211" s="8" t="str">
        <f>""</f>
        <v/>
      </c>
      <c r="Q211" s="8" t="str">
        <f>""</f>
        <v/>
      </c>
      <c r="R211" s="3" t="str">
        <f>"2 X PowerJet SaM146"</f>
        <v>2 X PowerJet SaM146</v>
      </c>
      <c r="S211" s="3"/>
      <c r="T211" s="3"/>
      <c r="U211" s="1" t="e">
        <f t="shared" si="122"/>
        <v>#VALUE!</v>
      </c>
      <c r="V211" s="8" t="str">
        <f>""</f>
        <v/>
      </c>
      <c r="W211" s="8" t="str">
        <f>"M 0.87"</f>
        <v>M 0.87</v>
      </c>
      <c r="X211" s="8" t="str">
        <f>"4,940 basic / 4,960 long-range"</f>
        <v>4,940 basic / 4,960 long-range</v>
      </c>
      <c r="Y211" s="8" t="str">
        <f>"2,027 basic / 2,959 long-range"</f>
        <v>2,027 basic / 2,959 long-range</v>
      </c>
      <c r="Z211" s="8" t="str">
        <f>"1,761 basic / 2,571 long-range"</f>
        <v>1,761 basic / 2,571 long-range</v>
      </c>
      <c r="AA211" s="3" t="str">
        <f>"In development."</f>
        <v>In development.</v>
      </c>
    </row>
    <row r="212" spans="1:27" ht="19.95" customHeight="1">
      <c r="A212" s="1" t="str">
        <f>"Sukhoi Design Bureau JSC"</f>
        <v>Sukhoi Design Bureau JSC</v>
      </c>
      <c r="B212" s="2" t="str">
        <f>"Sukhoi Design Bureau JSC"</f>
        <v>Sukhoi Design Bureau JSC</v>
      </c>
      <c r="C212" s="1" t="str">
        <f>"Moscow"</f>
        <v>Moscow</v>
      </c>
      <c r="D212" s="1" t="str">
        <f>""</f>
        <v/>
      </c>
      <c r="E212" s="1" t="str">
        <f>"Russia"</f>
        <v>Russia</v>
      </c>
      <c r="F212" s="1" t="str">
        <f>"Superjet 100-95"</f>
        <v>Superjet 100-95</v>
      </c>
      <c r="G212" s="1" t="str">
        <f>"Narrow-Body Turbofans"</f>
        <v>Narrow-Body Turbofans</v>
      </c>
      <c r="H212" s="7" t="str">
        <f>"2"</f>
        <v>2</v>
      </c>
      <c r="I212" s="7" t="str">
        <f>"95"</f>
        <v>95</v>
      </c>
      <c r="J212" s="7" t="str">
        <f>"91.2"</f>
        <v>91.2</v>
      </c>
      <c r="K212" s="7" t="str">
        <f>""</f>
        <v/>
      </c>
      <c r="L212" s="7" t="str">
        <f>"97.9"</f>
        <v>97.9</v>
      </c>
      <c r="M212" s="7" t="str">
        <f>"33.7"</f>
        <v>33.7</v>
      </c>
      <c r="N212" s="7" t="str">
        <f>""</f>
        <v/>
      </c>
      <c r="O212" s="7" t="str">
        <f>"93,740 basic / 101,150 long-range"</f>
        <v>93,740 basic / 101,150 long-range</v>
      </c>
      <c r="P212" s="7" t="str">
        <f>""</f>
        <v/>
      </c>
      <c r="Q212" s="7" t="str">
        <f>""</f>
        <v/>
      </c>
      <c r="R212" s="1" t="str">
        <f>"2 X PowerJet SaM146"</f>
        <v>2 X PowerJet SaM146</v>
      </c>
      <c r="S212" s="1"/>
      <c r="T212" s="1"/>
      <c r="U212" s="1" t="e">
        <f t="shared" si="122"/>
        <v>#VALUE!</v>
      </c>
      <c r="V212" s="7" t="str">
        <f>""</f>
        <v/>
      </c>
      <c r="W212" s="7" t="str">
        <f>"M 0.87"</f>
        <v>M 0.87</v>
      </c>
      <c r="X212" s="7" t="str">
        <f>"5,010 basic / 5,910 long-range"</f>
        <v>5,010 basic / 5,910 long-range</v>
      </c>
      <c r="Y212" s="7" t="str">
        <f>"1,894 basic / 2,786 long-range"</f>
        <v>1,894 basic / 2,786 long-range</v>
      </c>
      <c r="Z212" s="7" t="str">
        <f>"1,894 basic / 2,786 long-range"</f>
        <v>1,894 basic / 2,786 long-range</v>
      </c>
      <c r="AA212" s="1" t="str">
        <f>"In flight testing."</f>
        <v>In flight testing.</v>
      </c>
    </row>
    <row r="213" spans="1:27" ht="19.95" customHeight="1">
      <c r="A213" s="3" t="str">
        <f>"Vulcanair S.p.A."</f>
        <v>Vulcanair S.p.A.</v>
      </c>
      <c r="B213" s="4" t="str">
        <f>"Vulcanair S.p.A."</f>
        <v>Vulcanair S.p.A.</v>
      </c>
      <c r="C213" s="3" t="str">
        <f>"Casoria"</f>
        <v>Casoria</v>
      </c>
      <c r="D213" s="3" t="str">
        <f>""</f>
        <v/>
      </c>
      <c r="E213" s="3" t="str">
        <f>"Italy"</f>
        <v>Italy</v>
      </c>
      <c r="F213" s="3" t="str">
        <f>"A-Viator (AP68TP-600)"</f>
        <v>A-Viator (AP68TP-600)</v>
      </c>
      <c r="G213" s="3" t="str">
        <f t="shared" ref="G213:G218" si="126">"Turboprops"</f>
        <v>Turboprops</v>
      </c>
      <c r="H213" s="8" t="str">
        <f>"1"</f>
        <v>1</v>
      </c>
      <c r="I213" s="8" t="str">
        <f>"10"</f>
        <v>10</v>
      </c>
      <c r="J213" s="8" t="str">
        <f>"39.4"</f>
        <v>39.4</v>
      </c>
      <c r="K213" s="8" t="str">
        <f>"200.2"</f>
        <v>200.2</v>
      </c>
      <c r="L213" s="8" t="str">
        <f>"37.7"</f>
        <v>37.7</v>
      </c>
      <c r="M213" s="8" t="str">
        <f>"11.9"</f>
        <v>11.9</v>
      </c>
      <c r="N213" s="8" t="str">
        <f>"3,472"</f>
        <v>3,472</v>
      </c>
      <c r="O213" s="8" t="str">
        <f>"6,669"</f>
        <v>6,669</v>
      </c>
      <c r="P213" s="8" t="str">
        <f>"2,850"</f>
        <v>2,850</v>
      </c>
      <c r="Q213" s="8" t="str">
        <f>"2,149"</f>
        <v>2,149</v>
      </c>
      <c r="R213" s="3" t="str">
        <f>"2 X Rolls-Royce (Allison) 250-B17C+"</f>
        <v>2 X Rolls-Royce (Allison) 250-B17C+</v>
      </c>
      <c r="S213" s="3"/>
      <c r="T213" s="3"/>
      <c r="U213" s="1">
        <f t="shared" si="122"/>
        <v>33.311688311688314</v>
      </c>
      <c r="V213" s="8" t="str">
        <f>"230"</f>
        <v>230</v>
      </c>
      <c r="W213" s="8" t="str">
        <f>"230"</f>
        <v>230</v>
      </c>
      <c r="X213" s="8" t="str">
        <f>"2,034"</f>
        <v>2,034</v>
      </c>
      <c r="Y213" s="8" t="str">
        <f>"2,297"</f>
        <v>2,297</v>
      </c>
      <c r="Z213" s="8" t="str">
        <f>"931"</f>
        <v>931</v>
      </c>
      <c r="AA213" s="3" t="str">
        <f>"Commuter/cargo. Renewed systems and avionics."</f>
        <v>Commuter/cargo. Renewed systems and avionics.</v>
      </c>
    </row>
    <row r="214" spans="1:27" ht="19.95" customHeight="1">
      <c r="A214" s="1" t="str">
        <f>"Vulcanair S.p.A."</f>
        <v>Vulcanair S.p.A.</v>
      </c>
      <c r="B214" s="2" t="str">
        <f>"Vulcanair S.p.A."</f>
        <v>Vulcanair S.p.A.</v>
      </c>
      <c r="C214" s="1" t="str">
        <f>"Casoria"</f>
        <v>Casoria</v>
      </c>
      <c r="D214" s="1" t="str">
        <f>""</f>
        <v/>
      </c>
      <c r="E214" s="1" t="str">
        <f>"Italy"</f>
        <v>Italy</v>
      </c>
      <c r="F214" s="1" t="str">
        <f>"SF600A Canguro"</f>
        <v>SF600A Canguro</v>
      </c>
      <c r="G214" s="1" t="str">
        <f t="shared" si="126"/>
        <v>Turboprops</v>
      </c>
      <c r="H214" s="7" t="str">
        <f>"1"</f>
        <v>1</v>
      </c>
      <c r="I214" s="7" t="str">
        <f>"10"</f>
        <v>10</v>
      </c>
      <c r="J214" s="7" t="str">
        <f>"49.2"</f>
        <v>49.2</v>
      </c>
      <c r="K214" s="7" t="str">
        <f>"258"</f>
        <v>258</v>
      </c>
      <c r="L214" s="7" t="str">
        <f>"40.1"</f>
        <v>40.1</v>
      </c>
      <c r="M214" s="7" t="str">
        <f>"14.1"</f>
        <v>14.1</v>
      </c>
      <c r="N214" s="7" t="str">
        <f>"4,670"</f>
        <v>4,670</v>
      </c>
      <c r="O214" s="7" t="str">
        <f>"7,991"</f>
        <v>7,991</v>
      </c>
      <c r="P214" s="7" t="str">
        <f>"7,495"</f>
        <v>7,495</v>
      </c>
      <c r="Q214" s="7" t="str">
        <f>"2,715"</f>
        <v>2,715</v>
      </c>
      <c r="R214" s="1" t="str">
        <f>"2 X Rolls-Royce (Allison) 250-B17F1"</f>
        <v>2 X Rolls-Royce (Allison) 250-B17F1</v>
      </c>
      <c r="S214" s="1"/>
      <c r="T214" s="1"/>
      <c r="U214" s="1">
        <f t="shared" si="122"/>
        <v>30.972868217054263</v>
      </c>
      <c r="V214" s="7" t="str">
        <f>"190"</f>
        <v>190</v>
      </c>
      <c r="W214" s="7" t="str">
        <f>"188"</f>
        <v>188</v>
      </c>
      <c r="X214" s="7" t="str">
        <f>"2,030"</f>
        <v>2,030</v>
      </c>
      <c r="Y214" s="7" t="str">
        <f>"2,390"</f>
        <v>2,390</v>
      </c>
      <c r="Z214" s="7" t="str">
        <f>"813"</f>
        <v>813</v>
      </c>
      <c r="AA214" s="1" t="str">
        <f>"Commuter/cargo."</f>
        <v>Commuter/cargo.</v>
      </c>
    </row>
    <row r="215" spans="1:27" ht="19.95" customHeight="1">
      <c r="A215" s="3" t="str">
        <f t="shared" ref="A215:B218" si="127">"Xi'an Aircraft Industrial (Group) Co. Ltd."</f>
        <v>Xi'an Aircraft Industrial (Group) Co. Ltd.</v>
      </c>
      <c r="B215" s="4" t="str">
        <f t="shared" si="127"/>
        <v>Xi'an Aircraft Industrial (Group) Co. Ltd.</v>
      </c>
      <c r="C215" s="3" t="str">
        <f>"Xi'an"</f>
        <v>Xi'an</v>
      </c>
      <c r="D215" s="3" t="str">
        <f>"Shaanxi"</f>
        <v>Shaanxi</v>
      </c>
      <c r="E215" s="3" t="str">
        <f>"China"</f>
        <v>China</v>
      </c>
      <c r="F215" s="3" t="str">
        <f>"MA600"</f>
        <v>MA600</v>
      </c>
      <c r="G215" s="3" t="str">
        <f t="shared" si="126"/>
        <v>Turboprops</v>
      </c>
      <c r="H215" s="8" t="str">
        <f>"2"</f>
        <v>2</v>
      </c>
      <c r="I215" s="8" t="str">
        <f>"52-60"</f>
        <v>52-60</v>
      </c>
      <c r="J215" s="8" t="str">
        <f>""</f>
        <v/>
      </c>
      <c r="K215" s="8" t="str">
        <f>""</f>
        <v/>
      </c>
      <c r="L215" s="8" t="str">
        <f>""</f>
        <v/>
      </c>
      <c r="M215" s="8" t="str">
        <f>""</f>
        <v/>
      </c>
      <c r="N215" s="8" t="str">
        <f>""</f>
        <v/>
      </c>
      <c r="O215" s="8" t="str">
        <f>""</f>
        <v/>
      </c>
      <c r="P215" s="8" t="str">
        <f>""</f>
        <v/>
      </c>
      <c r="Q215" s="8" t="str">
        <f>""</f>
        <v/>
      </c>
      <c r="R215" s="3" t="str">
        <f>"2 X Pratt &amp; WhitneyaCanadaaPT6A-34"</f>
        <v>2 X Pratt &amp; WhitneyaCanadaaPT6A-34</v>
      </c>
      <c r="S215" s="3"/>
      <c r="T215" s="3"/>
      <c r="U215" s="1" t="e">
        <f t="shared" si="122"/>
        <v>#VALUE!</v>
      </c>
      <c r="V215" s="8" t="str">
        <f>""</f>
        <v/>
      </c>
      <c r="W215" s="8" t="str">
        <f>""</f>
        <v/>
      </c>
      <c r="X215" s="8" t="str">
        <f>""</f>
        <v/>
      </c>
      <c r="Y215" s="8" t="str">
        <f>""</f>
        <v/>
      </c>
      <c r="Z215" s="8" t="str">
        <f>""</f>
        <v/>
      </c>
      <c r="AA215" s="3" t="str">
        <f>""</f>
        <v/>
      </c>
    </row>
    <row r="216" spans="1:27" ht="19.95" customHeight="1">
      <c r="A216" s="1" t="str">
        <f t="shared" si="127"/>
        <v>Xi'an Aircraft Industrial (Group) Co. Ltd.</v>
      </c>
      <c r="B216" s="2" t="str">
        <f t="shared" si="127"/>
        <v>Xi'an Aircraft Industrial (Group) Co. Ltd.</v>
      </c>
      <c r="C216" s="1" t="str">
        <f>"Xi'an"</f>
        <v>Xi'an</v>
      </c>
      <c r="D216" s="1" t="str">
        <f>"Shaanxi"</f>
        <v>Shaanxi</v>
      </c>
      <c r="E216" s="1" t="str">
        <f>"China"</f>
        <v>China</v>
      </c>
      <c r="F216" s="1" t="str">
        <f>"MA700"</f>
        <v>MA700</v>
      </c>
      <c r="G216" s="1" t="str">
        <f t="shared" si="126"/>
        <v>Turboprops</v>
      </c>
      <c r="H216" s="7" t="str">
        <f>""</f>
        <v/>
      </c>
      <c r="I216" s="7" t="str">
        <f>"70"</f>
        <v>70</v>
      </c>
      <c r="J216" s="7" t="str">
        <f>""</f>
        <v/>
      </c>
      <c r="K216" s="7" t="str">
        <f>""</f>
        <v/>
      </c>
      <c r="L216" s="7" t="str">
        <f>""</f>
        <v/>
      </c>
      <c r="M216" s="7" t="str">
        <f>""</f>
        <v/>
      </c>
      <c r="N216" s="7" t="str">
        <f>""</f>
        <v/>
      </c>
      <c r="O216" s="7" t="str">
        <f>""</f>
        <v/>
      </c>
      <c r="P216" s="7" t="str">
        <f>""</f>
        <v/>
      </c>
      <c r="Q216" s="7" t="str">
        <f>""</f>
        <v/>
      </c>
      <c r="R216" s="1" t="str">
        <f>"2 X Pratt &amp; Whitney Canada PW127J"</f>
        <v>2 X Pratt &amp; Whitney Canada PW127J</v>
      </c>
      <c r="S216" s="1"/>
      <c r="T216" s="1"/>
      <c r="U216" s="1" t="e">
        <f t="shared" si="122"/>
        <v>#VALUE!</v>
      </c>
      <c r="V216" s="7" t="str">
        <f>""</f>
        <v/>
      </c>
      <c r="W216" s="7" t="str">
        <f>""</f>
        <v/>
      </c>
      <c r="X216" s="7" t="str">
        <f>""</f>
        <v/>
      </c>
      <c r="Y216" s="7" t="str">
        <f>""</f>
        <v/>
      </c>
      <c r="Z216" s="7" t="str">
        <f>""</f>
        <v/>
      </c>
      <c r="AA216" s="1" t="str">
        <f>""</f>
        <v/>
      </c>
    </row>
    <row r="217" spans="1:27" ht="19.95" customHeight="1">
      <c r="A217" s="3" t="str">
        <f t="shared" si="127"/>
        <v>Xi'an Aircraft Industrial (Group) Co. Ltd.</v>
      </c>
      <c r="B217" s="4" t="str">
        <f t="shared" si="127"/>
        <v>Xi'an Aircraft Industrial (Group) Co. Ltd.</v>
      </c>
      <c r="C217" s="3" t="str">
        <f>"Xi'an"</f>
        <v>Xi'an</v>
      </c>
      <c r="D217" s="3" t="str">
        <f>"Shaanxi"</f>
        <v>Shaanxi</v>
      </c>
      <c r="E217" s="3" t="str">
        <f>"China"</f>
        <v>China</v>
      </c>
      <c r="F217" s="3" t="str">
        <f>"Xinzhou-60 (MA60)"</f>
        <v>Xinzhou-60 (MA60)</v>
      </c>
      <c r="G217" s="3" t="str">
        <f t="shared" si="126"/>
        <v>Turboprops</v>
      </c>
      <c r="H217" s="8" t="str">
        <f>"2"</f>
        <v>2</v>
      </c>
      <c r="I217" s="8" t="str">
        <f>"56-60"</f>
        <v>56-60</v>
      </c>
      <c r="J217" s="8" t="str">
        <f>"95.8"</f>
        <v>95.8</v>
      </c>
      <c r="K217" s="8" t="str">
        <f>"807"</f>
        <v>807</v>
      </c>
      <c r="L217" s="8" t="str">
        <f>"81"</f>
        <v>81</v>
      </c>
      <c r="M217" s="8" t="str">
        <f>"29"</f>
        <v>29</v>
      </c>
      <c r="N217" s="8" t="str">
        <f>"30,864"</f>
        <v>30,864</v>
      </c>
      <c r="O217" s="8" t="str">
        <f>"48,060"</f>
        <v>48,060</v>
      </c>
      <c r="P217" s="8" t="str">
        <f>""</f>
        <v/>
      </c>
      <c r="Q217" s="8" t="str">
        <f>"12,128"</f>
        <v>12,128</v>
      </c>
      <c r="R217" s="3" t="str">
        <f>"2 X Pratt &amp; Whitney Canada PW127J"</f>
        <v>2 X Pratt &amp; Whitney Canada PW127J</v>
      </c>
      <c r="S217" s="3"/>
      <c r="T217" s="3"/>
      <c r="U217" s="1">
        <f t="shared" si="122"/>
        <v>59.553903345724905</v>
      </c>
      <c r="V217" s="8" t="str">
        <f>"313"</f>
        <v>313</v>
      </c>
      <c r="W217" s="8" t="str">
        <f>"283"</f>
        <v>283</v>
      </c>
      <c r="X217" s="8" t="str">
        <f>""</f>
        <v/>
      </c>
      <c r="Y217" s="8" t="str">
        <f>""</f>
        <v/>
      </c>
      <c r="Z217" s="8" t="str">
        <f>""</f>
        <v/>
      </c>
      <c r="AA217" s="3" t="str">
        <f>"Xi'an Aircraft Co., Shanxi, China."</f>
        <v>Xi'an Aircraft Co., Shanxi, China.</v>
      </c>
    </row>
    <row r="218" spans="1:27" ht="19.95" customHeight="1">
      <c r="A218" s="1" t="str">
        <f t="shared" si="127"/>
        <v>Xi'an Aircraft Industrial (Group) Co. Ltd.</v>
      </c>
      <c r="B218" s="2" t="str">
        <f t="shared" si="127"/>
        <v>Xi'an Aircraft Industrial (Group) Co. Ltd.</v>
      </c>
      <c r="C218" s="1" t="str">
        <f>"Xi'an"</f>
        <v>Xi'an</v>
      </c>
      <c r="D218" s="1" t="str">
        <f>"Shaanxi"</f>
        <v>Shaanxi</v>
      </c>
      <c r="E218" s="1" t="str">
        <f>"China"</f>
        <v>China</v>
      </c>
      <c r="F218" s="1" t="str">
        <f>"Yun-7 (Y-7)"</f>
        <v>Yun-7 (Y-7)</v>
      </c>
      <c r="G218" s="1" t="str">
        <f t="shared" si="126"/>
        <v>Turboprops</v>
      </c>
      <c r="H218" s="7" t="str">
        <f>"3"</f>
        <v>3</v>
      </c>
      <c r="I218" s="7" t="str">
        <f>"52"</f>
        <v>52</v>
      </c>
      <c r="J218" s="7" t="str">
        <f>"96.1"</f>
        <v>96.1</v>
      </c>
      <c r="K218" s="7" t="str">
        <f>"810"</f>
        <v>810</v>
      </c>
      <c r="L218" s="7" t="str">
        <f>"77.7"</f>
        <v>77.7</v>
      </c>
      <c r="M218" s="7" t="str">
        <f>"28.2"</f>
        <v>28.2</v>
      </c>
      <c r="N218" s="7" t="str">
        <f>"31,317"</f>
        <v>31,317</v>
      </c>
      <c r="O218" s="7" t="str">
        <f>"48,050"</f>
        <v>48,050</v>
      </c>
      <c r="P218" s="7" t="str">
        <f>"46,740"</f>
        <v>46,740</v>
      </c>
      <c r="Q218" s="7" t="str">
        <f>"10,364"</f>
        <v>10,364</v>
      </c>
      <c r="R218" s="1" t="str">
        <f>"2 X WJ-5A-1"</f>
        <v>2 X WJ-5A-1</v>
      </c>
      <c r="S218" s="1"/>
      <c r="T218" s="1"/>
      <c r="U218" s="1">
        <f t="shared" si="122"/>
        <v>59.320987654320987</v>
      </c>
      <c r="V218" s="7" t="str">
        <f>"314"</f>
        <v>314</v>
      </c>
      <c r="W218" s="7" t="str">
        <f>"264"</f>
        <v>264</v>
      </c>
      <c r="X218" s="7" t="str">
        <f>"1,791"</f>
        <v>1,791</v>
      </c>
      <c r="Y218" s="7" t="str">
        <f>"2,034"</f>
        <v>2,034</v>
      </c>
      <c r="Z218" s="7" t="str">
        <f>"1,239"</f>
        <v>1,239</v>
      </c>
      <c r="AA218" s="1" t="str">
        <f>"Licensed An-24, Xi'an Aircraft Co., Shanxi, China."</f>
        <v>Licensed An-24, Xi'an Aircraft Co., Shanxi, China.</v>
      </c>
    </row>
    <row r="219" spans="1:27" ht="19.95" customHeight="1">
      <c r="A219" s="12" t="s">
        <v>25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27" ht="19.9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27" ht="19.95" customHeight="1">
      <c r="A221" s="9" t="s">
        <v>26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27" ht="19.9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27" ht="19.95" customHeight="1">
      <c r="A223" s="10" t="s">
        <v>27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</sheetData>
  <mergeCells count="9">
    <mergeCell ref="A221:N221"/>
    <mergeCell ref="A222:N222"/>
    <mergeCell ref="A223:N223"/>
    <mergeCell ref="A1:N2"/>
    <mergeCell ref="A3:J4"/>
    <mergeCell ref="A5:B5"/>
    <mergeCell ref="A6:B6"/>
    <mergeCell ref="A219:N219"/>
    <mergeCell ref="A220:N220"/>
  </mergeCells>
  <hyperlinks>
    <hyperlink ref="B8" r:id="rId1" display="http://www.aviationweek.com/wad/wad_loggedin/displayQuickSearch.do?parameter=displayAll&amp;fromModule=personnels&amp;orgId=40441&amp;orgName=A.+S.+Yakovlev+Design+Bureau+OJSC&amp;key=1327473512938"/>
    <hyperlink ref="B9" r:id="rId2" display="http://www.aviationweek.com/wad/wad_loggedin/displayQuickSearch.do?parameter=displayAll&amp;fromModule=personnels&amp;orgId=40441&amp;orgName=A.+S.+Yakovlev+Design+Bureau+OJSC&amp;key=1327473512938"/>
    <hyperlink ref="B10" r:id="rId3" display="http://www.aviationweek.com/wad/wad_loggedin/displayQuickSearch.do?parameter=displayAll&amp;fromModule=personnels&amp;orgId=40441&amp;orgName=A.+S.+Yakovlev+Design+Bureau+OJSC&amp;key=1327473512938"/>
    <hyperlink ref="B11" r:id="rId4" display="http://www.aviationweek.com/wad/wad_loggedin/displayQuickSearch.do?parameter=displayAll&amp;fromModule=personnels&amp;orgId=46512&amp;orgName=ATR&amp;key=1327473512939"/>
    <hyperlink ref="B12" r:id="rId5" display="http://www.aviationweek.com/wad/wad_loggedin/displayQuickSearch.do?parameter=displayAll&amp;fromModule=personnels&amp;orgId=46512&amp;orgName=ATR&amp;key=1327473512939"/>
    <hyperlink ref="B13" r:id="rId6" display="http://www.aviationweek.com/wad/wad_loggedin/displayQuickSearch.do?parameter=displayAll&amp;fromModule=personnels&amp;orgId=46512&amp;orgName=ATR&amp;key=1327473512939"/>
    <hyperlink ref="B14" r:id="rId7" display="http://www.aviationweek.com/wad/wad_loggedin/displayQuickSearch.do?parameter=displayAll&amp;fromModule=personnels&amp;orgId=46512&amp;orgName=ATR&amp;key=1327473512939"/>
    <hyperlink ref="B15" r:id="rId8" display="http://www.aviationweek.com/wad/wad_loggedin/displayQuickSearch.do?parameter=displayAll&amp;fromModule=personnels&amp;orgId=46512&amp;orgName=ATR&amp;key=1327473512939"/>
    <hyperlink ref="B16" r:id="rId9" display="http://www.aviationweek.com/wad/wad_loggedin/displayQuickSearch.do?parameter=displayAll&amp;fromModule=personnels&amp;orgId=46512&amp;orgName=ATR&amp;key=1327473512939"/>
    <hyperlink ref="B17" r:id="rId10" display="http://www.aviationweek.com/wad/wad_loggedin/displayQuickSearch.do?parameter=displayAll&amp;fromModule=personnels&amp;orgId=46512&amp;orgName=ATR&amp;key=1327473512940"/>
    <hyperlink ref="B18" r:id="rId11" display="http://www.aviationweek.com/wad/wad_loggedin/displayQuickSearch.do?parameter=displayAll&amp;fromModule=personnels&amp;orgId=46512&amp;orgName=ATR&amp;key=1327473512942"/>
    <hyperlink ref="B19" r:id="rId12" display="http://www.aviationweek.com/wad/wad_loggedin/displayQuickSearch.do?parameter=displayAll&amp;fromModule=personnels&amp;orgId=46512&amp;orgName=ATR&amp;key=1327473512942"/>
    <hyperlink ref="B20" r:id="rId13" display="http://www.aviationweek.com/wad/wad_loggedin/displayQuickSearch.do?parameter=displayAll&amp;fromModule=personnels&amp;orgId=46512&amp;orgName=ATR&amp;key=1327473512942"/>
    <hyperlink ref="B21" r:id="rId14" display="http://www.aviationweek.com/wad/wad_loggedin/displayQuickSearch.do?parameter=displayAll&amp;fromModule=personnels&amp;orgId=46512&amp;orgName=ATR&amp;key=1327473512942"/>
    <hyperlink ref="B22" r:id="rId15" display="http://www.aviationweek.com/wad/wad_loggedin/displayQuickSearch.do?parameter=displayAll&amp;fromModule=personnels&amp;orgId=46512&amp;orgName=ATR&amp;key=1327473512942"/>
    <hyperlink ref="B23" r:id="rId16" display="http://www.aviationweek.com/wad/wad_loggedin/displayQuickSearch.do?parameter=displayAll&amp;fromModule=personnels&amp;orgId=46512&amp;orgName=ATR&amp;key=1327473512943"/>
    <hyperlink ref="B24" r:id="rId17" display="http://www.aviationweek.com/wad/wad_loggedin/displayQuickSearch.do?parameter=displayAll&amp;fromModule=personnels&amp;orgId=46512&amp;orgName=ATR&amp;key=1327473512943"/>
    <hyperlink ref="B25" r:id="rId18" display="http://www.aviationweek.com/wad/wad_loggedin/displayQuickSearch.do?parameter=displayAll&amp;fromModule=personnels&amp;orgId=46512&amp;orgName=ATR&amp;key=1327473512943"/>
    <hyperlink ref="B26" r:id="rId19" display="http://www.aviationweek.com/wad/wad_loggedin/displayQuickSearch.do?parameter=displayAll&amp;fromModule=personnels&amp;orgId=13183&amp;orgName=Airbus+Military&amp;key=1327473512943"/>
    <hyperlink ref="B27" r:id="rId20" display="http://www.aviationweek.com/wad/wad_loggedin/displayQuickSearch.do?parameter=displayAll&amp;fromModule=personnels&amp;orgId=13183&amp;orgName=Airbus+Military&amp;key=1327473512943"/>
    <hyperlink ref="B28" r:id="rId21" display="http://www.aviationweek.com/wad/wad_loggedin/displayQuickSearch.do?parameter=displayAll&amp;fromModule=personnels&amp;orgId=33990&amp;orgName=Airbus+S.A.S.&amp;key=1327473512945"/>
    <hyperlink ref="B29" r:id="rId22" display="http://www.aviationweek.com/wad/wad_loggedin/displayQuickSearch.do?parameter=displayAll&amp;fromModule=personnels&amp;orgId=33990&amp;orgName=Airbus+S.A.S.&amp;key=1327473512945"/>
    <hyperlink ref="B30" r:id="rId23" display="http://www.aviationweek.com/wad/wad_loggedin/displayQuickSearch.do?parameter=displayAll&amp;fromModule=personnels&amp;orgId=33990&amp;orgName=Airbus+S.A.S.&amp;key=1327473512945"/>
    <hyperlink ref="B31" r:id="rId24" display="http://www.aviationweek.com/wad/wad_loggedin/displayQuickSearch.do?parameter=displayAll&amp;fromModule=personnels&amp;orgId=33990&amp;orgName=Airbus+S.A.S.&amp;key=1327473512946"/>
    <hyperlink ref="B32" r:id="rId25" display="http://www.aviationweek.com/wad/wad_loggedin/displayQuickSearch.do?parameter=displayAll&amp;fromModule=personnels&amp;orgId=33990&amp;orgName=Airbus+S.A.S.&amp;key=1327473512946"/>
    <hyperlink ref="B33" r:id="rId26" display="http://www.aviationweek.com/wad/wad_loggedin/displayQuickSearch.do?parameter=displayAll&amp;fromModule=personnels&amp;orgId=33990&amp;orgName=Airbus+S.A.S.&amp;key=1327473512946"/>
    <hyperlink ref="B34" r:id="rId27" display="http://www.aviationweek.com/wad/wad_loggedin/displayQuickSearch.do?parameter=displayAll&amp;fromModule=personnels&amp;orgId=33990&amp;orgName=Airbus+S.A.S.&amp;key=1327473512946"/>
    <hyperlink ref="B35" r:id="rId28" display="http://www.aviationweek.com/wad/wad_loggedin/displayQuickSearch.do?parameter=displayAll&amp;fromModule=personnels&amp;orgId=33990&amp;orgName=Airbus+S.A.S.&amp;key=1327473512946"/>
    <hyperlink ref="B36" r:id="rId29" display="http://www.aviationweek.com/wad/wad_loggedin/displayQuickSearch.do?parameter=displayAll&amp;fromModule=personnels&amp;orgId=33990&amp;orgName=Airbus+S.A.S.&amp;key=1327473512946"/>
    <hyperlink ref="B37" r:id="rId30" display="http://www.aviationweek.com/wad/wad_loggedin/displayQuickSearch.do?parameter=displayAll&amp;fromModule=personnels&amp;orgId=33990&amp;orgName=Airbus+S.A.S.&amp;key=1327473512947"/>
    <hyperlink ref="B38" r:id="rId31" display="http://www.aviationweek.com/wad/wad_loggedin/displayQuickSearch.do?parameter=displayAll&amp;fromModule=personnels&amp;orgId=33990&amp;orgName=Airbus+S.A.S.&amp;key=1327473512948"/>
    <hyperlink ref="B39" r:id="rId32" display="http://www.aviationweek.com/wad/wad_loggedin/displayQuickSearch.do?parameter=displayAll&amp;fromModule=personnels&amp;orgId=33990&amp;orgName=Airbus+S.A.S.&amp;key=1327473512949"/>
    <hyperlink ref="B40" r:id="rId33" display="http://www.aviationweek.com/wad/wad_loggedin/displayQuickSearch.do?parameter=displayAll&amp;fromModule=personnels&amp;orgId=33990&amp;orgName=Airbus+S.A.S.&amp;key=1327473512949"/>
    <hyperlink ref="B41" r:id="rId34" display="http://www.aviationweek.com/wad/wad_loggedin/displayQuickSearch.do?parameter=displayAll&amp;fromModule=personnels&amp;orgId=33990&amp;orgName=Airbus+S.A.S.&amp;key=1327473512949"/>
    <hyperlink ref="B42" r:id="rId35" display="http://www.aviationweek.com/wad/wad_loggedin/displayQuickSearch.do?parameter=displayAll&amp;fromModule=personnels&amp;orgId=33990&amp;orgName=Airbus+S.A.S.&amp;key=1327473512949"/>
    <hyperlink ref="B43" r:id="rId36" display="http://www.aviationweek.com/wad/wad_loggedin/displayQuickSearch.do?parameter=displayAll&amp;fromModule=personnels&amp;orgId=33990&amp;orgName=Airbus+S.A.S.&amp;key=1327473512949"/>
    <hyperlink ref="B44" r:id="rId37" display="http://www.aviationweek.com/wad/wad_loggedin/displayQuickSearch.do?parameter=displayAll&amp;fromModule=personnels&amp;orgId=33990&amp;orgName=Airbus+S.A.S.&amp;key=1327473512949"/>
    <hyperlink ref="B45" r:id="rId38" display="http://www.aviationweek.com/wad/wad_loggedin/displayQuickSearch.do?parameter=displayAll&amp;fromModule=personnels&amp;orgId=33990&amp;orgName=Airbus+S.A.S.&amp;key=1327473512950"/>
    <hyperlink ref="B46" r:id="rId39" display="http://www.aviationweek.com/wad/wad_loggedin/displayQuickSearch.do?parameter=displayAll&amp;fromModule=personnels&amp;orgId=33990&amp;orgName=Airbus+S.A.S.&amp;key=1327473512950"/>
    <hyperlink ref="B47" r:id="rId40" display="http://www.aviationweek.com/wad/wad_loggedin/displayQuickSearch.do?parameter=displayAll&amp;fromModule=personnels&amp;orgId=33990&amp;orgName=Airbus+S.A.S.&amp;key=1327473512950"/>
    <hyperlink ref="B48" r:id="rId41" display="http://www.aviationweek.com/wad/wad_loggedin/displayQuickSearch.do?parameter=displayAll&amp;fromModule=personnels&amp;orgId=33990&amp;orgName=Airbus+S.A.S.&amp;key=1327473512952"/>
    <hyperlink ref="B49" r:id="rId42" display="http://www.aviationweek.com/wad/wad_loggedin/displayQuickSearch.do?parameter=displayAll&amp;fromModule=personnels&amp;orgId=33990&amp;orgName=Airbus+S.A.S.&amp;key=1327473512953"/>
    <hyperlink ref="B50" r:id="rId43" display="http://www.aviationweek.com/wad/wad_loggedin/displayQuickSearch.do?parameter=displayAll&amp;fromModule=personnels&amp;orgId=33990&amp;orgName=Airbus+S.A.S.&amp;key=1327473512953"/>
    <hyperlink ref="B51" r:id="rId44" display="http://www.aviationweek.com/wad/wad_loggedin/displayQuickSearch.do?parameter=displayAll&amp;fromModule=personnels&amp;orgId=33990&amp;orgName=Airbus+S.A.S.&amp;key=1327473512953"/>
    <hyperlink ref="B52" r:id="rId45" display="http://www.aviationweek.com/wad/wad_loggedin/displayQuickSearch.do?parameter=displayAll&amp;fromModule=personnels&amp;orgId=33990&amp;orgName=Airbus+S.A.S.&amp;key=1327473512953"/>
    <hyperlink ref="B53" r:id="rId46" display="http://www.aviationweek.com/wad/wad_loggedin/displayQuickSearch.do?parameter=displayAll&amp;fromModule=personnels&amp;orgId=33990&amp;orgName=Airbus+S.A.S.&amp;key=1327473512954"/>
    <hyperlink ref="B54" r:id="rId47" display="http://www.aviationweek.com/wad/wad_loggedin/displayQuickSearch.do?parameter=displayAll&amp;fromModule=personnels&amp;orgId=33990&amp;orgName=Airbus+S.A.S.&amp;key=1327473512954"/>
    <hyperlink ref="B55" r:id="rId48" display="http://www.aviationweek.com/wad/wad_loggedin/displayQuickSearch.do?parameter=displayAll&amp;fromModule=personnels&amp;orgId=33990&amp;orgName=Airbus+S.A.S.&amp;key=1327473512954"/>
    <hyperlink ref="B56" r:id="rId49" display="http://www.aviationweek.com/wad/wad_loggedin/displayQuickSearch.do?parameter=displayAll&amp;fromModule=personnels&amp;orgId=33990&amp;orgName=Airbus+S.A.S.&amp;key=1327473512954"/>
    <hyperlink ref="B57" r:id="rId50" display="http://www.aviationweek.com/wad/wad_loggedin/displayQuickSearch.do?parameter=displayAll&amp;fromModule=personnels&amp;orgId=33990&amp;orgName=Airbus+S.A.S.&amp;key=1327473512954"/>
    <hyperlink ref="B58" r:id="rId51" display="http://www.aviationweek.com/wad/wad_loggedin/displayQuickSearch.do?parameter=displayAll&amp;fromModule=personnels&amp;orgId=33990&amp;orgName=Airbus+S.A.S.&amp;key=1327473512956"/>
    <hyperlink ref="B59" r:id="rId52" display="http://www.aviationweek.com/wad/wad_loggedin/displayQuickSearch.do?parameter=displayAll&amp;fromModule=personnels&amp;orgId=33990&amp;orgName=Airbus+S.A.S.&amp;key=1327473512956"/>
    <hyperlink ref="B60" r:id="rId53" display="http://www.aviationweek.com/wad/wad_loggedin/displayQuickSearch.do?parameter=displayAll&amp;fromModule=personnels&amp;orgId=33990&amp;orgName=Airbus+S.A.S.&amp;key=1327473512957"/>
    <hyperlink ref="B61" r:id="rId54" display="http://www.aviationweek.com/wad/wad_loggedin/displayQuickSearch.do?parameter=displayAll&amp;fromModule=personnels&amp;orgId=20458&amp;orgName=B-N+Group+Ltd.&amp;key=1327473512957"/>
    <hyperlink ref="B62" r:id="rId55" display="http://www.aviationweek.com/wad/wad_loggedin/displayQuickSearch.do?parameter=displayAll&amp;fromModule=personnels&amp;orgId=40787&amp;orgName=BAE+Systems+Regional+Aircraft&amp;key=1327473512957"/>
    <hyperlink ref="B63" r:id="rId56" display="http://www.aviationweek.com/wad/wad_loggedin/displayQuickSearch.do?parameter=displayAll&amp;fromModule=personnels&amp;orgId=40787&amp;orgName=BAE+Systems+Regional+Aircraft&amp;key=1327473512957"/>
    <hyperlink ref="B64" r:id="rId57" display="http://www.aviationweek.com/wad/wad_loggedin/displayQuickSearch.do?parameter=displayAll&amp;fromModule=personnels&amp;orgId=40787&amp;orgName=BAE+Systems+Regional+Aircraft&amp;key=1327473512957"/>
    <hyperlink ref="B65" r:id="rId58" display="http://www.aviationweek.com/wad/wad_loggedin/displayQuickSearch.do?parameter=displayAll&amp;fromModule=personnels&amp;orgId=40787&amp;orgName=BAE+Systems+Regional+Aircraft&amp;key=1327473512958"/>
    <hyperlink ref="B66" r:id="rId59" display="http://www.aviationweek.com/wad/wad_loggedin/displayQuickSearch.do?parameter=displayAll&amp;fromModule=personnels&amp;orgId=40787&amp;orgName=BAE+Systems+Regional+Aircraft&amp;key=1327473512958"/>
    <hyperlink ref="B67" r:id="rId60" display="http://www.aviationweek.com/wad/wad_loggedin/displayQuickSearch.do?parameter=displayAll&amp;fromModule=personnels&amp;orgId=40787&amp;orgName=BAE+Systems+Regional+Aircraft&amp;key=1327473512958"/>
    <hyperlink ref="B68" r:id="rId61" display="http://www.aviationweek.com/wad/wad_loggedin/displayQuickSearch.do?parameter=displayAll&amp;fromModule=personnels&amp;orgId=40787&amp;orgName=BAE+Systems+Regional+Aircraft&amp;key=1327473512960"/>
    <hyperlink ref="B69" r:id="rId62" display="http://www.aviationweek.com/wad/wad_loggedin/displayQuickSearch.do?parameter=displayAll&amp;fromModule=personnels&amp;orgId=40787&amp;orgName=BAE+Systems+Regional+Aircraft&amp;key=1327473512960"/>
    <hyperlink ref="B70" r:id="rId63" display="http://www.aviationweek.com/wad/wad_loggedin/displayQuickSearch.do?parameter=displayAll&amp;fromModule=personnels&amp;orgId=40787&amp;orgName=BAE+Systems+Regional+Aircraft&amp;key=1327473512960"/>
    <hyperlink ref="B71" r:id="rId64" display="http://www.aviationweek.com/wad/wad_loggedin/displayQuickSearch.do?parameter=displayAll&amp;fromModule=personnels&amp;orgId=40787&amp;orgName=BAE+Systems+Regional+Aircraft&amp;key=1327473512960"/>
    <hyperlink ref="B72" r:id="rId65" display="http://www.aviationweek.com/wad/wad_loggedin/displayQuickSearch.do?parameter=displayAll&amp;fromModule=personnels&amp;orgId=40787&amp;orgName=BAE+Systems+Regional+Aircraft&amp;key=1327473512961"/>
    <hyperlink ref="B73" r:id="rId66" display="http://www.aviationweek.com/wad/wad_loggedin/displayQuickSearch.do?parameter=displayAll&amp;fromModule=personnels&amp;orgId=40787&amp;orgName=BAE+Systems+Regional+Aircraft&amp;key=1327473512961"/>
    <hyperlink ref="B74" r:id="rId67" display="http://www.aviationweek.com/wad/wad_loggedin/displayQuickSearch.do?parameter=displayAll&amp;fromModule=personnels&amp;orgId=40787&amp;orgName=BAE+Systems+Regional+Aircraft&amp;key=1327473512961"/>
    <hyperlink ref="B75" r:id="rId68" display="http://www.aviationweek.com/wad/wad_loggedin/displayQuickSearch.do?parameter=displayAll&amp;fromModule=personnels&amp;orgId=10870&amp;orgName=Boeing+Commercial+Airplanes&amp;key=1327473512961"/>
    <hyperlink ref="B76" r:id="rId69" display="http://www.aviationweek.com/wad/wad_loggedin/displayQuickSearch.do?parameter=displayAll&amp;fromModule=personnels&amp;orgId=10870&amp;orgName=Boeing+Commercial+Airplanes&amp;key=1327473512962"/>
    <hyperlink ref="B77" r:id="rId70" display="http://www.aviationweek.com/wad/wad_loggedin/displayQuickSearch.do?parameter=displayAll&amp;fromModule=personnels&amp;orgId=10870&amp;orgName=Boeing+Commercial+Airplanes&amp;key=1327473512962"/>
    <hyperlink ref="B78" r:id="rId71" display="http://www.aviationweek.com/wad/wad_loggedin/displayQuickSearch.do?parameter=displayAll&amp;fromModule=personnels&amp;orgId=10870&amp;orgName=Boeing+Commercial+Airplanes&amp;key=1327473512963"/>
    <hyperlink ref="B79" r:id="rId72" display="http://www.aviationweek.com/wad/wad_loggedin/displayQuickSearch.do?parameter=displayAll&amp;fromModule=personnels&amp;orgId=10870&amp;orgName=Boeing+Commercial+Airplanes&amp;key=1327473512964"/>
    <hyperlink ref="B80" r:id="rId73" display="http://www.aviationweek.com/wad/wad_loggedin/displayQuickSearch.do?parameter=displayAll&amp;fromModule=personnels&amp;orgId=10870&amp;orgName=Boeing+Commercial+Airplanes&amp;key=1327473512964"/>
    <hyperlink ref="B81" r:id="rId74" display="http://www.aviationweek.com/wad/wad_loggedin/displayQuickSearch.do?parameter=displayAll&amp;fromModule=personnels&amp;orgId=10870&amp;orgName=Boeing+Commercial+Airplanes&amp;key=1327473512964"/>
    <hyperlink ref="B82" r:id="rId75" display="http://www.aviationweek.com/wad/wad_loggedin/displayQuickSearch.do?parameter=displayAll&amp;fromModule=personnels&amp;orgId=10870&amp;orgName=Boeing+Commercial+Airplanes&amp;key=1327473512964"/>
    <hyperlink ref="B83" r:id="rId76" display="http://www.aviationweek.com/wad/wad_loggedin/displayQuickSearch.do?parameter=displayAll&amp;fromModule=personnels&amp;orgId=10870&amp;orgName=Boeing+Commercial+Airplanes&amp;key=1327473512965"/>
    <hyperlink ref="B84" r:id="rId77" display="http://www.aviationweek.com/wad/wad_loggedin/displayQuickSearch.do?parameter=displayAll&amp;fromModule=personnels&amp;orgId=10870&amp;orgName=Boeing+Commercial+Airplanes&amp;key=1327473512965"/>
    <hyperlink ref="B85" r:id="rId78" display="http://www.aviationweek.com/wad/wad_loggedin/displayQuickSearch.do?parameter=displayAll&amp;fromModule=personnels&amp;orgId=10870&amp;orgName=Boeing+Commercial+Airplanes&amp;key=1327473512965"/>
    <hyperlink ref="B86" r:id="rId79" display="http://www.aviationweek.com/wad/wad_loggedin/displayQuickSearch.do?parameter=displayAll&amp;fromModule=personnels&amp;orgId=10870&amp;orgName=Boeing+Commercial+Airplanes&amp;key=1327473512965"/>
    <hyperlink ref="B87" r:id="rId80" display="http://www.aviationweek.com/wad/wad_loggedin/displayQuickSearch.do?parameter=displayAll&amp;fromModule=personnels&amp;orgId=10870&amp;orgName=Boeing+Commercial+Airplanes&amp;key=1327473512965"/>
    <hyperlink ref="B88" r:id="rId81" display="http://www.aviationweek.com/wad/wad_loggedin/displayQuickSearch.do?parameter=displayAll&amp;fromModule=personnels&amp;orgId=10870&amp;orgName=Boeing+Commercial+Airplanes&amp;key=1327473512967"/>
    <hyperlink ref="B89" r:id="rId82" display="http://www.aviationweek.com/wad/wad_loggedin/displayQuickSearch.do?parameter=displayAll&amp;fromModule=personnels&amp;orgId=10870&amp;orgName=Boeing+Commercial+Airplanes&amp;key=1327473512967"/>
    <hyperlink ref="B90" r:id="rId83" display="http://www.aviationweek.com/wad/wad_loggedin/displayQuickSearch.do?parameter=displayAll&amp;fromModule=personnels&amp;orgId=10870&amp;orgName=Boeing+Commercial+Airplanes&amp;key=1327473512967"/>
    <hyperlink ref="B91" r:id="rId84" display="http://www.aviationweek.com/wad/wad_loggedin/displayQuickSearch.do?parameter=displayAll&amp;fromModule=personnels&amp;orgId=10870&amp;orgName=Boeing+Commercial+Airplanes&amp;key=1327473512968"/>
    <hyperlink ref="B92" r:id="rId85" display="http://www.aviationweek.com/wad/wad_loggedin/displayQuickSearch.do?parameter=displayAll&amp;fromModule=personnels&amp;orgId=10870&amp;orgName=Boeing+Commercial+Airplanes&amp;key=1327473512968"/>
    <hyperlink ref="B93" r:id="rId86" display="http://www.aviationweek.com/wad/wad_loggedin/displayQuickSearch.do?parameter=displayAll&amp;fromModule=personnels&amp;orgId=10870&amp;orgName=Boeing+Commercial+Airplanes&amp;key=1327473512968"/>
    <hyperlink ref="B94" r:id="rId87" display="http://www.aviationweek.com/wad/wad_loggedin/displayQuickSearch.do?parameter=displayAll&amp;fromModule=personnels&amp;orgId=10870&amp;orgName=Boeing+Commercial+Airplanes&amp;key=1327473512968"/>
    <hyperlink ref="B95" r:id="rId88" display="http://www.aviationweek.com/wad/wad_loggedin/displayQuickSearch.do?parameter=displayAll&amp;fromModule=personnels&amp;orgId=10870&amp;orgName=Boeing+Commercial+Airplanes&amp;key=1327473512968"/>
    <hyperlink ref="B96" r:id="rId89" display="http://www.aviationweek.com/wad/wad_loggedin/displayQuickSearch.do?parameter=displayAll&amp;fromModule=personnels&amp;orgId=10870&amp;orgName=Boeing+Commercial+Airplanes&amp;key=1327473512969"/>
    <hyperlink ref="B97" r:id="rId90" display="http://www.aviationweek.com/wad/wad_loggedin/displayQuickSearch.do?parameter=displayAll&amp;fromModule=personnels&amp;orgId=10870&amp;orgName=Boeing+Commercial+Airplanes&amp;key=1327473512969"/>
    <hyperlink ref="B98" r:id="rId91" display="http://www.aviationweek.com/wad/wad_loggedin/displayQuickSearch.do?parameter=displayAll&amp;fromModule=personnels&amp;orgId=10870&amp;orgName=Boeing+Commercial+Airplanes&amp;key=1327473512971"/>
    <hyperlink ref="B99" r:id="rId92" display="http://www.aviationweek.com/wad/wad_loggedin/displayQuickSearch.do?parameter=displayAll&amp;fromModule=personnels&amp;orgId=10870&amp;orgName=Boeing+Commercial+Airplanes&amp;key=1327473512971"/>
    <hyperlink ref="B100" r:id="rId93" display="http://www.aviationweek.com/wad/wad_loggedin/displayQuickSearch.do?parameter=displayAll&amp;fromModule=personnels&amp;orgId=10870&amp;orgName=Boeing+Commercial+Airplanes&amp;key=1327473512971"/>
    <hyperlink ref="B101" r:id="rId94" display="http://www.aviationweek.com/wad/wad_loggedin/displayQuickSearch.do?parameter=displayAll&amp;fromModule=personnels&amp;orgId=10870&amp;orgName=Boeing+Commercial+Airplanes&amp;key=1327473512971"/>
    <hyperlink ref="B102" r:id="rId95" display="http://www.aviationweek.com/wad/wad_loggedin/displayQuickSearch.do?parameter=displayAll&amp;fromModule=personnels&amp;orgId=10870&amp;orgName=Boeing+Commercial+Airplanes&amp;key=1327473512972"/>
    <hyperlink ref="B103" r:id="rId96" display="http://www.aviationweek.com/wad/wad_loggedin/displayQuickSearch.do?parameter=displayAll&amp;fromModule=personnels&amp;orgId=10870&amp;orgName=Boeing+Commercial+Airplanes&amp;key=1327473512972"/>
    <hyperlink ref="B104" r:id="rId97" display="http://www.aviationweek.com/wad/wad_loggedin/displayQuickSearch.do?parameter=displayAll&amp;fromModule=personnels&amp;orgId=10870&amp;orgName=Boeing+Commercial+Airplanes&amp;key=1327473512972"/>
    <hyperlink ref="B105" r:id="rId98" display="http://www.aviationweek.com/wad/wad_loggedin/displayQuickSearch.do?parameter=displayAll&amp;fromModule=personnels&amp;orgId=10870&amp;orgName=Boeing+Commercial+Airplanes&amp;key=1327473512972"/>
    <hyperlink ref="B106" r:id="rId99" display="http://www.aviationweek.com/wad/wad_loggedin/displayQuickSearch.do?parameter=displayAll&amp;fromModule=personnels&amp;orgId=10870&amp;orgName=Boeing+Commercial+Airplanes&amp;key=1327473512972"/>
    <hyperlink ref="B107" r:id="rId100" display="http://www.aviationweek.com/wad/wad_loggedin/displayQuickSearch.do?parameter=displayAll&amp;fromModule=personnels&amp;orgId=10870&amp;orgName=Boeing+Commercial+Airplanes&amp;key=1327473512973"/>
    <hyperlink ref="B108" r:id="rId101" display="http://www.aviationweek.com/wad/wad_loggedin/displayQuickSearch.do?parameter=displayAll&amp;fromModule=personnels&amp;orgId=10870&amp;orgName=Boeing+Commercial+Airplanes&amp;key=1327473512975"/>
    <hyperlink ref="B109" r:id="rId102" display="http://www.aviationweek.com/wad/wad_loggedin/displayQuickSearch.do?parameter=displayAll&amp;fromModule=personnels&amp;orgId=10870&amp;orgName=Boeing+Commercial+Airplanes&amp;key=1327473512975"/>
    <hyperlink ref="B110" r:id="rId103" display="http://www.aviationweek.com/wad/wad_loggedin/displayQuickSearch.do?parameter=displayAll&amp;fromModule=personnels&amp;orgId=10870&amp;orgName=Boeing+Commercial+Airplanes&amp;key=1327473512975"/>
    <hyperlink ref="B111" r:id="rId104" display="http://www.aviationweek.com/wad/wad_loggedin/displayQuickSearch.do?parameter=displayAll&amp;fromModule=personnels&amp;orgId=10870&amp;orgName=Boeing+Commercial+Airplanes&amp;key=1327473512975"/>
    <hyperlink ref="B112" r:id="rId105" display="http://www.aviationweek.com/wad/wad_loggedin/displayQuickSearch.do?parameter=displayAll&amp;fromModule=personnels&amp;orgId=10870&amp;orgName=Boeing+Commercial+Airplanes&amp;key=1327473512975"/>
    <hyperlink ref="B113" r:id="rId106" display="http://www.aviationweek.com/wad/wad_loggedin/displayQuickSearch.do?parameter=displayAll&amp;fromModule=personnels&amp;orgId=10870&amp;orgName=Boeing+Commercial+Airplanes&amp;key=1327473512976"/>
    <hyperlink ref="B114" r:id="rId107" display="http://www.aviationweek.com/wad/wad_loggedin/displayQuickSearch.do?parameter=displayAll&amp;fromModule=personnels&amp;orgId=10870&amp;orgName=Boeing+Commercial+Airplanes&amp;key=1327473512976"/>
    <hyperlink ref="B115" r:id="rId108" display="http://www.aviationweek.com/wad/wad_loggedin/displayQuickSearch.do?parameter=displayAll&amp;fromModule=personnels&amp;orgId=10870&amp;orgName=Boeing+Commercial+Airplanes&amp;key=1327473512976"/>
    <hyperlink ref="B116" r:id="rId109" display="http://www.aviationweek.com/wad/wad_loggedin/displayQuickSearch.do?parameter=displayAll&amp;fromModule=personnels&amp;orgId=10870&amp;orgName=Boeing+Commercial+Airplanes&amp;key=1327473512976"/>
    <hyperlink ref="B117" r:id="rId110" display="http://www.aviationweek.com/wad/wad_loggedin/displayQuickSearch.do?parameter=displayAll&amp;fromModule=personnels&amp;orgId=10870&amp;orgName=Boeing+Commercial+Airplanes&amp;key=1327473512976"/>
    <hyperlink ref="B118" r:id="rId111" display="http://www.aviationweek.com/wad/wad_loggedin/displayQuickSearch.do?parameter=displayAll&amp;fromModule=personnels&amp;orgId=10870&amp;orgName=Boeing+Commercial+Airplanes&amp;key=1327473512978"/>
    <hyperlink ref="B119" r:id="rId112" display="http://www.aviationweek.com/wad/wad_loggedin/displayQuickSearch.do?parameter=displayAll&amp;fromModule=personnels&amp;orgId=10870&amp;orgName=Boeing+Commercial+Airplanes&amp;key=1327473512978"/>
    <hyperlink ref="B120" r:id="rId113" display="http://www.aviationweek.com/wad/wad_loggedin/displayQuickSearch.do?parameter=displayAll&amp;fromModule=personnels&amp;orgId=10870&amp;orgName=Boeing+Commercial+Airplanes&amp;key=1327473512978"/>
    <hyperlink ref="B121" r:id="rId114" display="http://www.aviationweek.com/wad/wad_loggedin/displayQuickSearch.do?parameter=displayAll&amp;fromModule=personnels&amp;orgId=10870&amp;orgName=Boeing+Commercial+Airplanes&amp;key=1327473512978"/>
    <hyperlink ref="B122" r:id="rId115" display="http://www.aviationweek.com/wad/wad_loggedin/displayQuickSearch.do?parameter=displayAll&amp;fromModule=personnels&amp;orgId=10870&amp;orgName=Boeing+Commercial+Airplanes&amp;key=1327473512979"/>
    <hyperlink ref="B123" r:id="rId116" display="http://www.aviationweek.com/wad/wad_loggedin/displayQuickSearch.do?parameter=displayAll&amp;fromModule=personnels&amp;orgId=10870&amp;orgName=Boeing+Commercial+Airplanes&amp;key=1327473512979"/>
    <hyperlink ref="B124" r:id="rId117" display="http://www.aviationweek.com/wad/wad_loggedin/displayQuickSearch.do?parameter=displayAll&amp;fromModule=personnels&amp;orgId=10870&amp;orgName=Boeing+Commercial+Airplanes&amp;key=1327473512979"/>
    <hyperlink ref="B125" r:id="rId118" display="http://www.aviationweek.com/wad/wad_loggedin/displayQuickSearch.do?parameter=displayAll&amp;fromModule=personnels&amp;orgId=10870&amp;orgName=Boeing+Commercial+Airplanes&amp;key=1327473512979"/>
    <hyperlink ref="B126" r:id="rId119" display="http://www.aviationweek.com/wad/wad_loggedin/displayQuickSearch.do?parameter=displayAll&amp;fromModule=personnels&amp;orgId=10870&amp;orgName=Boeing+Commercial+Airplanes&amp;key=1327473512980"/>
    <hyperlink ref="B127" r:id="rId120" display="http://www.aviationweek.com/wad/wad_loggedin/displayQuickSearch.do?parameter=displayAll&amp;fromModule=personnels&amp;orgId=10870&amp;orgName=Boeing+Commercial+Airplanes&amp;key=1327473512980"/>
    <hyperlink ref="B128" r:id="rId121" display="http://www.aviationweek.com/wad/wad_loggedin/displayQuickSearch.do?parameter=displayAll&amp;fromModule=personnels&amp;orgId=10870&amp;orgName=Boeing+Commercial+Airplanes&amp;key=1327473512982"/>
    <hyperlink ref="B129" r:id="rId122" display="http://www.aviationweek.com/wad/wad_loggedin/displayQuickSearch.do?parameter=displayAll&amp;fromModule=personnels&amp;orgId=10870&amp;orgName=Boeing+Commercial+Airplanes&amp;key=1327473512982"/>
    <hyperlink ref="B130" r:id="rId123" display="http://www.aviationweek.com/wad/wad_loggedin/displayQuickSearch.do?parameter=displayAll&amp;fromModule=personnels&amp;orgId=10870&amp;orgName=Boeing+Commercial+Airplanes&amp;key=1327473512982"/>
    <hyperlink ref="B131" r:id="rId124" display="http://www.aviationweek.com/wad/wad_loggedin/displayQuickSearch.do?parameter=displayAll&amp;fromModule=personnels&amp;orgId=10870&amp;orgName=Boeing+Commercial+Airplanes&amp;key=1327473512982"/>
    <hyperlink ref="B132" r:id="rId125" display="http://www.aviationweek.com/wad/wad_loggedin/displayQuickSearch.do?parameter=displayAll&amp;fromModule=personnels&amp;orgId=10870&amp;orgName=Boeing+Commercial+Airplanes&amp;key=1327473512982"/>
    <hyperlink ref="B133" r:id="rId126" display="http://www.aviationweek.com/wad/wad_loggedin/displayQuickSearch.do?parameter=displayAll&amp;fromModule=personnels&amp;orgId=10870&amp;orgName=Boeing+Commercial+Airplanes&amp;key=1327473512983"/>
    <hyperlink ref="B134" r:id="rId127" display="http://www.aviationweek.com/wad/wad_loggedin/displayQuickSearch.do?parameter=displayAll&amp;fromModule=personnels&amp;orgId=10870&amp;orgName=Boeing+Commercial+Airplanes&amp;key=1327473512983"/>
    <hyperlink ref="B135" r:id="rId128" display="http://www.aviationweek.com/wad/wad_loggedin/displayQuickSearch.do?parameter=displayAll&amp;fromModule=personnels&amp;orgId=10870&amp;orgName=Boeing+Commercial+Airplanes&amp;key=1327473512983"/>
    <hyperlink ref="B136" r:id="rId129" display="http://www.aviationweek.com/wad/wad_loggedin/displayQuickSearch.do?parameter=displayAll&amp;fromModule=personnels&amp;orgId=10870&amp;orgName=Boeing+Commercial+Airplanes&amp;key=1327473512983"/>
    <hyperlink ref="B137" r:id="rId130" display="http://www.aviationweek.com/wad/wad_loggedin/displayQuickSearch.do?parameter=displayAll&amp;fromModule=personnels&amp;orgId=41340&amp;orgName=Bombardier+Aerospace&amp;key=1327473512983"/>
    <hyperlink ref="B138" r:id="rId131" display="http://www.aviationweek.com/wad/wad_loggedin/displayQuickSearch.do?parameter=displayAll&amp;fromModule=personnels&amp;orgId=41340&amp;orgName=Bombardier+Aerospace&amp;key=1327473512985"/>
    <hyperlink ref="B139" r:id="rId132" display="http://www.aviationweek.com/wad/wad_loggedin/displayQuickSearch.do?parameter=displayAll&amp;fromModule=personnels&amp;orgId=41340&amp;orgName=Bombardier+Aerospace&amp;key=1327473512985"/>
    <hyperlink ref="B140" r:id="rId133" display="http://www.aviationweek.com/wad/wad_loggedin/displayQuickSearch.do?parameter=displayAll&amp;fromModule=personnels&amp;orgId=41340&amp;orgName=Bombardier+Aerospace&amp;key=1327473512985"/>
    <hyperlink ref="B141" r:id="rId134" display="http://www.aviationweek.com/wad/wad_loggedin/displayQuickSearch.do?parameter=displayAll&amp;fromModule=personnels&amp;orgId=41340&amp;orgName=Bombardier+Aerospace&amp;key=1327473512986"/>
    <hyperlink ref="B142" r:id="rId135" display="http://www.aviationweek.com/wad/wad_loggedin/displayQuickSearch.do?parameter=displayAll&amp;fromModule=personnels&amp;orgId=41340&amp;orgName=Bombardier+Aerospace&amp;key=1327473512986"/>
    <hyperlink ref="B143" r:id="rId136" display="http://www.aviationweek.com/wad/wad_loggedin/displayQuickSearch.do?parameter=displayAll&amp;fromModule=personnels&amp;orgId=41340&amp;orgName=Bombardier+Aerospace&amp;key=1327473512986"/>
    <hyperlink ref="B144" r:id="rId137" display="http://www.aviationweek.com/wad/wad_loggedin/displayQuickSearch.do?parameter=displayAll&amp;fromModule=personnels&amp;orgId=41340&amp;orgName=Bombardier+Aerospace&amp;key=1327473512986"/>
    <hyperlink ref="B145" r:id="rId138" display="http://www.aviationweek.com/wad/wad_loggedin/displayQuickSearch.do?parameter=displayAll&amp;fromModule=personnels&amp;orgId=41340&amp;orgName=Bombardier+Aerospace&amp;key=1327473512986"/>
    <hyperlink ref="B146" r:id="rId139" display="http://www.aviationweek.com/wad/wad_loggedin/displayQuickSearch.do?parameter=displayAll&amp;fromModule=personnels&amp;orgId=41340&amp;orgName=Bombardier+Aerospace&amp;key=1327473512987"/>
    <hyperlink ref="B147" r:id="rId140" display="http://www.aviationweek.com/wad/wad_loggedin/displayQuickSearch.do?parameter=displayAll&amp;fromModule=personnels&amp;orgId=41340&amp;orgName=Bombardier+Aerospace&amp;key=1327473512987"/>
    <hyperlink ref="B148" r:id="rId141" display="http://www.aviationweek.com/wad/wad_loggedin/displayQuickSearch.do?parameter=displayAll&amp;fromModule=personnels&amp;orgId=41340&amp;orgName=Bombardier+Aerospace&amp;key=1327473512989"/>
    <hyperlink ref="B149" r:id="rId142" display="http://www.aviationweek.com/wad/wad_loggedin/displayQuickSearch.do?parameter=displayAll&amp;fromModule=personnels&amp;orgId=41340&amp;orgName=Bombardier+Aerospace&amp;key=1327473512989"/>
    <hyperlink ref="B150" r:id="rId143" display="http://www.aviationweek.com/wad/wad_loggedin/displayQuickSearch.do?parameter=displayAll&amp;fromModule=personnels&amp;orgId=41340&amp;orgName=Bombardier+Aerospace&amp;key=1327473512989"/>
    <hyperlink ref="B151" r:id="rId144" display="http://www.aviationweek.com/wad/wad_loggedin/displayQuickSearch.do?parameter=displayAll&amp;fromModule=personnels&amp;orgId=41340&amp;orgName=Bombardier+Aerospace&amp;key=1327473512989"/>
    <hyperlink ref="B152" r:id="rId145" display="http://www.aviationweek.com/wad/wad_loggedin/displayQuickSearch.do?parameter=displayAll&amp;fromModule=personnels&amp;orgId=41340&amp;orgName=Bombardier+Aerospace&amp;key=1327473512989"/>
    <hyperlink ref="B153" r:id="rId146" display="http://www.aviationweek.com/wad/wad_loggedin/displayQuickSearch.do?parameter=displayAll&amp;fromModule=personnels&amp;orgId=41340&amp;orgName=Bombardier+Aerospace&amp;key=1327473512990"/>
    <hyperlink ref="B154" r:id="rId147" display="http://www.aviationweek.com/wad/wad_loggedin/displayQuickSearch.do?parameter=displayAll&amp;fromModule=personnels&amp;orgId=41340&amp;orgName=Bombardier+Aerospace&amp;key=1327473512990"/>
    <hyperlink ref="B155" r:id="rId148" display="http://www.aviationweek.com/wad/wad_loggedin/displayQuickSearch.do?parameter=displayAll&amp;fromModule=personnels&amp;orgId=41340&amp;orgName=Bombardier+Aerospace&amp;key=1327473512990"/>
    <hyperlink ref="B156" r:id="rId149" display="http://www.aviationweek.com/wad/wad_loggedin/displayQuickSearch.do?parameter=displayAll&amp;fromModule=personnels&amp;orgId=41340&amp;orgName=Bombardier+Aerospace&amp;key=1327473512990"/>
    <hyperlink ref="B157" r:id="rId150" display="http://www.aviationweek.com/wad/wad_loggedin/displayQuickSearch.do?parameter=displayAll&amp;fromModule=personnels&amp;orgId=41340&amp;orgName=Bombardier+Aerospace&amp;key=1327473512990"/>
    <hyperlink ref="B158" r:id="rId151" display="http://www.aviationweek.com/wad/wad_loggedin/displayQuickSearch.do?parameter=displayAll&amp;fromModule=personnels&amp;orgId=41340&amp;orgName=Bombardier+Aerospace&amp;key=1327473512992"/>
    <hyperlink ref="B159" r:id="rId152" display="http://www.aviationweek.com/wad/wad_loggedin/displayQuickSearch.do?parameter=displayAll&amp;fromModule=personnels&amp;orgId=16233&amp;orgName=Bombardier+Aerospace-Belfast&amp;key=1327473512992"/>
    <hyperlink ref="B160" r:id="rId153" display="http://www.aviationweek.com/wad/wad_loggedin/displayQuickSearch.do?parameter=displayAll&amp;fromModule=personnels&amp;orgId=16233&amp;orgName=Bombardier+Aerospace-Belfast&amp;key=1327473512993"/>
    <hyperlink ref="B161" r:id="rId154" display="http://www.aviationweek.com/wad/wad_loggedin/displayQuickSearch.do?parameter=displayAll&amp;fromModule=personnels&amp;orgId=239150&amp;orgName=Commercial+Aircraft+Corp.+of+China+Ltd.&amp;key=1327473512993"/>
    <hyperlink ref="B162" r:id="rId155" display="http://www.aviationweek.com/wad/wad_loggedin/displayQuickSearch.do?parameter=displayAll&amp;fromModule=personnels&amp;orgId=239150&amp;orgName=Commercial+Aircraft+Corp.+of+China+Ltd.&amp;key=1327473512993"/>
    <hyperlink ref="B163" r:id="rId156" display="http://www.aviationweek.com/wad/wad_loggedin/displayQuickSearch.do?parameter=displayAll&amp;fromModule=personnels&amp;orgId=14162&amp;orgName=Embraer+S.A.&amp;key=1327473512993"/>
    <hyperlink ref="B164" r:id="rId157" display="http://www.aviationweek.com/wad/wad_loggedin/displayQuickSearch.do?parameter=displayAll&amp;fromModule=personnels&amp;orgId=14162&amp;orgName=Embraer+S.A.&amp;key=1327473512993"/>
    <hyperlink ref="B165" r:id="rId158" display="http://www.aviationweek.com/wad/wad_loggedin/displayQuickSearch.do?parameter=displayAll&amp;fromModule=personnels&amp;orgId=14162&amp;orgName=Embraer+S.A.&amp;key=1327473512993"/>
    <hyperlink ref="B166" r:id="rId159" display="http://www.aviationweek.com/wad/wad_loggedin/displayQuickSearch.do?parameter=displayAll&amp;fromModule=personnels&amp;orgId=14162&amp;orgName=Embraer+S.A.&amp;key=1327473512994"/>
    <hyperlink ref="B167" r:id="rId160" display="http://www.aviationweek.com/wad/wad_loggedin/displayQuickSearch.do?parameter=displayAll&amp;fromModule=personnels&amp;orgId=14162&amp;orgName=Embraer+S.A.&amp;key=1327473512994"/>
    <hyperlink ref="B168" r:id="rId161" display="http://www.aviationweek.com/wad/wad_loggedin/displayQuickSearch.do?parameter=displayAll&amp;fromModule=personnels&amp;orgId=14162&amp;orgName=Embraer+S.A.&amp;key=1327473512996"/>
    <hyperlink ref="B169" r:id="rId162" display="http://www.aviationweek.com/wad/wad_loggedin/displayQuickSearch.do?parameter=displayAll&amp;fromModule=personnels&amp;orgId=14162&amp;orgName=Embraer+S.A.&amp;key=1327473512996"/>
    <hyperlink ref="B170" r:id="rId163" display="http://www.aviationweek.com/wad/wad_loggedin/displayQuickSearch.do?parameter=displayAll&amp;fromModule=personnels&amp;orgId=14162&amp;orgName=Embraer+S.A.&amp;key=1327473512996"/>
    <hyperlink ref="B171" r:id="rId164" display="http://www.aviationweek.com/wad/wad_loggedin/displayQuickSearch.do?parameter=displayAll&amp;fromModule=personnels&amp;orgId=14162&amp;orgName=Embraer+S.A.&amp;key=1327473512996"/>
    <hyperlink ref="B172" r:id="rId165" display="http://www.aviationweek.com/wad/wad_loggedin/displayQuickSearch.do?parameter=displayAll&amp;fromModule=personnels&amp;orgId=14162&amp;orgName=Embraer+S.A.&amp;key=1327473512996"/>
    <hyperlink ref="B173" r:id="rId166" display="http://www.aviationweek.com/wad/wad_loggedin/displayQuickSearch.do?parameter=displayAll&amp;fromModule=personnels&amp;orgId=14162&amp;orgName=Embraer+S.A.&amp;key=1327473512997"/>
    <hyperlink ref="B174" r:id="rId167" display="http://www.aviationweek.com/wad/wad_loggedin/displayQuickSearch.do?parameter=displayAll&amp;fromModule=personnels&amp;orgId=14162&amp;orgName=Embraer+S.A.&amp;key=1327473512997"/>
    <hyperlink ref="B175" r:id="rId168" display="http://www.aviationweek.com/wad/wad_loggedin/displayQuickSearch.do?parameter=displayAll&amp;fromModule=personnels&amp;orgId=14162&amp;orgName=Embraer+S.A.&amp;key=1327473512997"/>
    <hyperlink ref="B176" r:id="rId169" display="http://www.aviationweek.com/wad/wad_loggedin/displayQuickSearch.do?parameter=displayAll&amp;fromModule=personnels&amp;orgId=14162&amp;orgName=Embraer+S.A.&amp;key=1327473512997"/>
    <hyperlink ref="B177" r:id="rId170" display="http://www.aviationweek.com/wad/wad_loggedin/displayQuickSearch.do?parameter=displayAll&amp;fromModule=personnels&amp;orgId=14162&amp;orgName=Embraer+S.A.&amp;key=1327473512997"/>
    <hyperlink ref="B178" r:id="rId171" display="http://www.aviationweek.com/wad/wad_loggedin/displayQuickSearch.do?parameter=displayAll&amp;fromModule=personnels&amp;orgId=14162&amp;orgName=Embraer+S.A.&amp;key=1327473512999"/>
    <hyperlink ref="B179" r:id="rId172" display="http://www.aviationweek.com/wad/wad_loggedin/displayQuickSearch.do?parameter=displayAll&amp;fromModule=personnels&amp;orgId=14162&amp;orgName=Embraer+S.A.&amp;key=1327473512999"/>
    <hyperlink ref="B180" r:id="rId173" display="http://www.aviationweek.com/wad/wad_loggedin/displayQuickSearch.do?parameter=displayAll&amp;fromModule=personnels&amp;orgId=14162&amp;orgName=Embraer+S.A.&amp;key=1327473512999"/>
    <hyperlink ref="B181" r:id="rId174" display="http://www.aviationweek.com/wad/wad_loggedin/displayQuickSearch.do?parameter=displayAll&amp;fromModule=personnels&amp;orgId=14162&amp;orgName=Embraer+S.A.&amp;key=1327473513000"/>
    <hyperlink ref="B182" r:id="rId175" display="http://www.aviationweek.com/wad/wad_loggedin/displayQuickSearch.do?parameter=displayAll&amp;fromModule=personnels&amp;orgId=14162&amp;orgName=Embraer+S.A.&amp;key=1327473513000"/>
    <hyperlink ref="B183" r:id="rId176" display="http://www.aviationweek.com/wad/wad_loggedin/displayQuickSearch.do?parameter=displayAll&amp;fromModule=personnels&amp;orgId=14162&amp;orgName=Embraer+S.A.&amp;key=1327473513000"/>
    <hyperlink ref="B184" r:id="rId177" display="http://www.aviationweek.com/wad/wad_loggedin/displayQuickSearch.do?parameter=displayAll&amp;fromModule=personnels&amp;orgId=14162&amp;orgName=Embraer+S.A.&amp;key=1327473513000"/>
    <hyperlink ref="B185" r:id="rId178" display="http://www.aviationweek.com/wad/wad_loggedin/displayQuickSearch.do?parameter=displayAll&amp;fromModule=personnels&amp;orgId=16691&amp;orgName=Fairchild+Dornier&amp;key=1327473513000"/>
    <hyperlink ref="B186" r:id="rId179" display="http://www.aviationweek.com/wad/wad_loggedin/displayQuickSearch.do?parameter=displayAll&amp;fromModule=personnels&amp;orgId=16691&amp;orgName=Fairchild+Dornier&amp;key=1327473513001"/>
    <hyperlink ref="B187" r:id="rId180" display="http://www.aviationweek.com/wad/wad_loggedin/displayQuickSearch.do?parameter=displayAll&amp;fromModule=personnels&amp;orgId=16691&amp;orgName=Fairchild+Dornier&amp;key=1327473513001"/>
    <hyperlink ref="B188" r:id="rId181" display="http://www.aviationweek.com/wad/wad_loggedin/displayQuickSearch.do?parameter=displayAll&amp;fromModule=personnels&amp;orgId=47384&amp;orgName=Fokker+Aircraft+Services&amp;key=1327473513003"/>
    <hyperlink ref="B189" r:id="rId182" display="http://www.aviationweek.com/wad/wad_loggedin/displayQuickSearch.do?parameter=displayAll&amp;fromModule=personnels&amp;orgId=47384&amp;orgName=Fokker+Aircraft+Services&amp;key=1327473513003"/>
    <hyperlink ref="B190" r:id="rId183" display="http://www.aviationweek.com/wad/wad_loggedin/displayQuickSearch.do?parameter=displayAll&amp;fromModule=personnels&amp;orgId=47384&amp;orgName=Fokker+Aircraft+Services&amp;key=1327473513003"/>
    <hyperlink ref="B191" r:id="rId184" display="http://www.aviationweek.com/wad/wad_loggedin/displayQuickSearch.do?parameter=displayAll&amp;fromModule=personnels&amp;orgId=19866&amp;orgName=Fokker+Services+B.V.&amp;key=1327473513004"/>
    <hyperlink ref="B192" r:id="rId185" display="http://www.aviationweek.com/wad/wad_loggedin/displayQuickSearch.do?parameter=displayAll&amp;fromModule=personnels&amp;orgId=19866&amp;orgName=Fokker+Services+B.V.&amp;key=1327473513004"/>
    <hyperlink ref="B193" r:id="rId186" display="http://www.aviationweek.com/wad/wad_loggedin/displayQuickSearch.do?parameter=displayAll&amp;fromModule=personnels&amp;orgId=16244&amp;orgName=Harbin+Aircraft+Industry+Group&amp;key=1327473513004"/>
    <hyperlink ref="B194" r:id="rId187" display="http://www.aviationweek.com/wad/wad_loggedin/displayQuickSearch.do?parameter=displayAll&amp;fromModule=personnels&amp;orgId=16244&amp;orgName=Harbin+Aircraft+Industry+Group&amp;key=1327473513004"/>
    <hyperlink ref="B195" r:id="rId188" display="http://www.aviationweek.com/wad/wad_loggedin/displayQuickSearch.do?parameter=displayAll&amp;fromModule=personnels&amp;orgId=13235&amp;orgName=Hawker+Beechcraft+Corp.&amp;key=1327473513004"/>
    <hyperlink ref="B196" r:id="rId189" display="http://www.aviationweek.com/wad/wad_loggedin/displayQuickSearch.do?parameter=displayAll&amp;fromModule=personnels&amp;orgId=13235&amp;orgName=Hawker+Beechcraft+Corp.&amp;key=1327473513004"/>
    <hyperlink ref="B197" r:id="rId190" display="http://www.aviationweek.com/wad/wad_loggedin/displayQuickSearch.do?parameter=displayAll&amp;fromModule=personnels&amp;orgId=34072&amp;orgName=Hindustan+Aeronautics+Ltd.&amp;key=1327473513005"/>
    <hyperlink ref="B198" r:id="rId191" display="http://www.aviationweek.com/wad/wad_loggedin/displayQuickSearch.do?parameter=displayAll&amp;fromModule=personnels&amp;orgId=45983&amp;orgName=Komsomolsk-on-Amur+Aircraft+Production+Association+(KNAAPO)&amp;key=1327473513006"/>
    <hyperlink ref="B199" r:id="rId192" display="http://www.aviationweek.com/wad/wad_loggedin/displayQuickSearch.do?parameter=displayAll&amp;fromModule=personnels&amp;orgId=23576&amp;orgName=Lockheed+Martin+Aeronautics+Co.&amp;key=1327473513007"/>
    <hyperlink ref="B200" r:id="rId193" display="http://www.aviationweek.com/wad/wad_loggedin/displayQuickSearch.do?parameter=displayAll&amp;fromModule=personnels&amp;orgId=34454&amp;orgName=Mitsubishi+Heavy+Industries,+Ltd.&amp;key=1327473513007"/>
    <hyperlink ref="B201" r:id="rId194" display="http://www.aviationweek.com/wad/wad_loggedin/displayQuickSearch.do?parameter=displayAll&amp;fromModule=personnels&amp;orgId=34454&amp;orgName=Mitsubishi+Heavy+Industries,+Ltd.&amp;key=1327473513007"/>
    <hyperlink ref="B202" r:id="rId195" display="http://www.aviationweek.com/wad/wad_loggedin/displayQuickSearch.do?parameter=displayAll&amp;fromModule=personnels&amp;orgId=30037&amp;orgName=PT.+Dirgantara+Indonesia&amp;key=1327473513007"/>
    <hyperlink ref="B203" r:id="rId196" display="http://www.aviationweek.com/wad/wad_loggedin/displayQuickSearch.do?parameter=displayAll&amp;fromModule=personnels&amp;orgId=18692&amp;orgName=Pilatus+Aircraft+Ltd.&amp;key=1327473513007"/>
    <hyperlink ref="B204" r:id="rId197" display="http://www.aviationweek.com/wad/wad_loggedin/displayQuickSearch.do?parameter=displayAll&amp;fromModule=personnels&amp;orgId=14192&amp;orgName=RUAG+Aerospace&amp;key=1327473513008"/>
    <hyperlink ref="B205" r:id="rId198" display="http://www.aviationweek.com/wad/wad_loggedin/displayQuickSearch.do?parameter=displayAll&amp;fromModule=personnels&amp;orgId=40638&amp;orgName=Saab+AB&amp;key=1327473513008"/>
    <hyperlink ref="B206" r:id="rId199" display="http://www.aviationweek.com/wad/wad_loggedin/displayQuickSearch.do?parameter=displayAll&amp;fromModule=personnels&amp;orgId=40638&amp;orgName=Saab+AB&amp;key=1327473513008"/>
    <hyperlink ref="B207" r:id="rId200" display="http://www.aviationweek.com/wad/wad_loggedin/displayQuickSearch.do?parameter=displayAll&amp;fromModule=personnels&amp;orgId=40638&amp;orgName=Saab+AB&amp;key=1327473513008"/>
    <hyperlink ref="B208" r:id="rId201" display="http://www.aviationweek.com/wad/wad_loggedin/displayQuickSearch.do?parameter=displayAll&amp;fromModule=personnels&amp;orgId=40638&amp;orgName=Saab+AB&amp;key=1327473513010"/>
    <hyperlink ref="B209" r:id="rId202" display="http://www.aviationweek.com/wad/wad_loggedin/displayQuickSearch.do?parameter=displayAll&amp;fromModule=personnels&amp;orgId=40638&amp;orgName=Saab+AB&amp;key=1327473513010"/>
    <hyperlink ref="B210" r:id="rId203" display="http://www.aviationweek.com/wad/wad_loggedin/displayQuickSearch.do?parameter=displayAll&amp;fromModule=personnels&amp;orgId=13139&amp;orgName=Shaanxi+Aircraft+Industry+(Group)+Co.,+Ltd.&amp;key=1327473513010"/>
    <hyperlink ref="B211" r:id="rId204" display="http://www.aviationweek.com/wad/wad_loggedin/displayQuickSearch.do?parameter=displayAll&amp;fromModule=personnels&amp;orgId=40439&amp;orgName=Sukhoi+Design+Bureau+JSC&amp;key=1327473513010"/>
    <hyperlink ref="B212" r:id="rId205" display="http://www.aviationweek.com/wad/wad_loggedin/displayQuickSearch.do?parameter=displayAll&amp;fromModule=personnels&amp;orgId=40439&amp;orgName=Sukhoi+Design+Bureau+JSC&amp;key=1327473513011"/>
    <hyperlink ref="B213" r:id="rId206" display="http://www.aviationweek.com/wad/wad_loggedin/displayQuickSearch.do?parameter=displayAll&amp;fromModule=personnels&amp;orgId=115804&amp;orgName=Vulcanair+S.p.A.&amp;key=1327473513011"/>
    <hyperlink ref="B214" r:id="rId207" display="http://www.aviationweek.com/wad/wad_loggedin/displayQuickSearch.do?parameter=displayAll&amp;fromModule=personnels&amp;orgId=115804&amp;orgName=Vulcanair+S.p.A.&amp;key=1327473513011"/>
    <hyperlink ref="B215" r:id="rId208" display="http://www.aviationweek.com/wad/wad_loggedin/displayQuickSearch.do?parameter=displayAll&amp;fromModule=personnels&amp;orgId=27833&amp;orgName=Xi"/>
    <hyperlink ref="B216" r:id="rId209" display="http://www.aviationweek.com/wad/wad_loggedin/displayQuickSearch.do?parameter=displayAll&amp;fromModule=personnels&amp;orgId=27833&amp;orgName=Xi"/>
    <hyperlink ref="B217" r:id="rId210" display="http://www.aviationweek.com/wad/wad_loggedin/displayQuickSearch.do?parameter=displayAll&amp;fromModule=personnels&amp;orgId=27833&amp;orgName=Xi"/>
    <hyperlink ref="B218" r:id="rId211" display="http://www.aviationweek.com/wad/wad_loggedin/displayQuickSearch.do?parameter=displayAll&amp;fromModule=personnels&amp;orgId=27833&amp;orgName=Xi"/>
    <hyperlink ref="A221" r:id="rId212" tooltip="Forecast International" display="http://www.forecastinternational.com/"/>
  </hyperlinks>
  <pageMargins left="0.75" right="0.75" top="1" bottom="1" header="0.5" footer="0.5"/>
  <legacyDrawing r:id="rId2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Specification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AVIATION WEEK INTELLIGENCE NETWORK</dc:title>
  <dc:creator>Tony Hays</dc:creator>
  <cp:lastModifiedBy>Tony Hays</cp:lastModifiedBy>
  <dcterms:created xsi:type="dcterms:W3CDTF">2012-01-25T06:41:23Z</dcterms:created>
  <dcterms:modified xsi:type="dcterms:W3CDTF">2012-10-01T18:28:33Z</dcterms:modified>
</cp:coreProperties>
</file>